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" windowWidth="9495" windowHeight="6090" firstSheet="1" activeTab="5"/>
  </bookViews>
  <sheets>
    <sheet name="ООО СтройинтеХ I пусковой комп." sheetId="2" r:id="rId1"/>
    <sheet name="ООО ПСК Волга II пусковой комп." sheetId="1" r:id="rId2"/>
    <sheet name="ООО ПСК Волга Выполнение" sheetId="3" r:id="rId3"/>
    <sheet name="Лист1" sheetId="4" r:id="rId4"/>
    <sheet name="д.с.№4 от 11.12.2015" sheetId="5" r:id="rId5"/>
    <sheet name="РАСЧЕТ ГЧП" sheetId="6" r:id="rId6"/>
  </sheets>
  <definedNames>
    <definedName name="_xlnm.Print_Area" localSheetId="5">'РАСЧЕТ ГЧП'!$A$1:$P$30</definedName>
  </definedNames>
  <calcPr calcId="145621" refMode="R1C1"/>
  <fileRecoveryPr autoRecover="0"/>
</workbook>
</file>

<file path=xl/calcChain.xml><?xml version="1.0" encoding="utf-8"?>
<calcChain xmlns="http://schemas.openxmlformats.org/spreadsheetml/2006/main">
  <c r="E30" i="6" l="1"/>
  <c r="F29" i="6" l="1"/>
  <c r="C29" i="6"/>
  <c r="D29" i="6" s="1"/>
  <c r="F28" i="6"/>
  <c r="D28" i="6"/>
  <c r="F27" i="6"/>
  <c r="D27" i="6"/>
  <c r="F26" i="6"/>
  <c r="D26" i="6"/>
  <c r="F25" i="6"/>
  <c r="D25" i="6"/>
  <c r="F24" i="6"/>
  <c r="D24" i="6"/>
  <c r="F23" i="6"/>
  <c r="D23" i="6"/>
  <c r="F22" i="6"/>
  <c r="D22" i="6"/>
  <c r="F21" i="6"/>
  <c r="D21" i="6"/>
  <c r="F20" i="6"/>
  <c r="D20" i="6"/>
  <c r="F19" i="6"/>
  <c r="D19" i="6"/>
  <c r="F18" i="6"/>
  <c r="D18" i="6"/>
  <c r="F17" i="6"/>
  <c r="D17" i="6"/>
  <c r="F16" i="6"/>
  <c r="D16" i="6"/>
  <c r="F15" i="6"/>
  <c r="D15" i="6"/>
  <c r="F14" i="6"/>
  <c r="D14" i="6"/>
  <c r="F13" i="6"/>
  <c r="D13" i="6"/>
  <c r="F12" i="6"/>
  <c r="D12" i="6"/>
  <c r="F11" i="6"/>
  <c r="D11" i="6"/>
  <c r="F10" i="6"/>
  <c r="D10" i="6"/>
  <c r="F9" i="6"/>
  <c r="D9" i="6"/>
  <c r="F8" i="6"/>
  <c r="D8" i="6"/>
  <c r="F7" i="6"/>
  <c r="D7" i="6"/>
  <c r="F6" i="6"/>
  <c r="D6" i="6"/>
  <c r="F5" i="6"/>
  <c r="D5" i="6"/>
  <c r="O5" i="6"/>
  <c r="P14" i="6" s="1"/>
  <c r="D30" i="6" l="1"/>
  <c r="F30" i="6"/>
  <c r="G15" i="6"/>
  <c r="J15" i="6" s="1"/>
  <c r="G19" i="6"/>
  <c r="G25" i="6"/>
  <c r="G20" i="6"/>
  <c r="G26" i="6"/>
  <c r="G16" i="6"/>
  <c r="J16" i="6" s="1"/>
  <c r="G10" i="6"/>
  <c r="J10" i="6" s="1"/>
  <c r="G14" i="6"/>
  <c r="J14" i="6" s="1"/>
  <c r="G22" i="6"/>
  <c r="J22" i="6" s="1"/>
  <c r="G24" i="6"/>
  <c r="J24" i="6" s="1"/>
  <c r="G27" i="6"/>
  <c r="I27" i="6" s="1"/>
  <c r="J27" i="6" s="1"/>
  <c r="K27" i="6" s="1"/>
  <c r="M27" i="6" s="1"/>
  <c r="G5" i="6"/>
  <c r="J5" i="6" s="1"/>
  <c r="G9" i="6"/>
  <c r="J9" i="6" s="1"/>
  <c r="G11" i="6"/>
  <c r="J11" i="6" s="1"/>
  <c r="G13" i="6"/>
  <c r="G18" i="6"/>
  <c r="J18" i="6" s="1"/>
  <c r="I9" i="6"/>
  <c r="K9" i="6" s="1"/>
  <c r="I15" i="6"/>
  <c r="K15" i="6" s="1"/>
  <c r="G12" i="6"/>
  <c r="G17" i="6"/>
  <c r="I17" i="6" s="1"/>
  <c r="J17" i="6" s="1"/>
  <c r="K17" i="6" s="1"/>
  <c r="M17" i="6" s="1"/>
  <c r="G21" i="6"/>
  <c r="G23" i="6"/>
  <c r="J23" i="6" s="1"/>
  <c r="G28" i="6"/>
  <c r="G7" i="6"/>
  <c r="J7" i="6" s="1"/>
  <c r="G6" i="6"/>
  <c r="J6" i="6" s="1"/>
  <c r="G8" i="6"/>
  <c r="J8" i="6" s="1"/>
  <c r="G29" i="6"/>
  <c r="I11" i="6"/>
  <c r="K11" i="6" s="1"/>
  <c r="I22" i="6"/>
  <c r="K22" i="6" s="1"/>
  <c r="M22" i="6" s="1"/>
  <c r="I6" i="6"/>
  <c r="K6" i="6" s="1"/>
  <c r="I10" i="6"/>
  <c r="K10" i="6" s="1"/>
  <c r="I14" i="6"/>
  <c r="K14" i="6" s="1"/>
  <c r="M14" i="6" s="1"/>
  <c r="I18" i="6"/>
  <c r="K18" i="6" s="1"/>
  <c r="M18" i="6" s="1"/>
  <c r="I20" i="6"/>
  <c r="J20" i="6" s="1"/>
  <c r="K20" i="6" s="1"/>
  <c r="I26" i="6"/>
  <c r="J26" i="6" s="1"/>
  <c r="K26" i="6" s="1"/>
  <c r="M26" i="6" s="1"/>
  <c r="C30" i="6"/>
  <c r="P17" i="6"/>
  <c r="P18" i="6"/>
  <c r="P22" i="6"/>
  <c r="P23" i="6"/>
  <c r="P24" i="6"/>
  <c r="P26" i="6"/>
  <c r="P27" i="6"/>
  <c r="P29" i="6"/>
  <c r="D24" i="5"/>
  <c r="E10" i="4"/>
  <c r="E11" i="4"/>
  <c r="E12" i="4"/>
  <c r="E13" i="4"/>
  <c r="E14" i="4"/>
  <c r="E15" i="4"/>
  <c r="E16" i="4"/>
  <c r="E19" i="4"/>
  <c r="E35" i="4"/>
  <c r="E37" i="4"/>
  <c r="D43" i="4"/>
  <c r="E43" i="4" s="1"/>
  <c r="D32" i="4"/>
  <c r="E32" i="4" s="1"/>
  <c r="D33" i="4"/>
  <c r="E33" i="4" s="1"/>
  <c r="D30" i="4"/>
  <c r="E30" i="4" s="1"/>
  <c r="D44" i="4"/>
  <c r="E44" i="4" s="1"/>
  <c r="D42" i="4"/>
  <c r="E42" i="4" s="1"/>
  <c r="D41" i="4"/>
  <c r="E41" i="4" s="1"/>
  <c r="D40" i="4"/>
  <c r="E40" i="4" s="1"/>
  <c r="C18" i="4"/>
  <c r="D17" i="4"/>
  <c r="E17" i="4" s="1"/>
  <c r="D36" i="4"/>
  <c r="E36" i="4" s="1"/>
  <c r="D38" i="4"/>
  <c r="D6" i="4"/>
  <c r="E6" i="4" s="1"/>
  <c r="D39" i="4"/>
  <c r="E39" i="4" s="1"/>
  <c r="D29" i="4"/>
  <c r="E29" i="4" s="1"/>
  <c r="D27" i="4"/>
  <c r="E27" i="4" s="1"/>
  <c r="D28" i="4"/>
  <c r="E28" i="4" s="1"/>
  <c r="D31" i="4"/>
  <c r="E31" i="4" s="1"/>
  <c r="D24" i="4"/>
  <c r="E24" i="4" s="1"/>
  <c r="D23" i="4"/>
  <c r="E23" i="4" s="1"/>
  <c r="D22" i="4"/>
  <c r="E22" i="4" s="1"/>
  <c r="D26" i="4"/>
  <c r="E26" i="4" s="1"/>
  <c r="D25" i="4"/>
  <c r="E25" i="4" s="1"/>
  <c r="D21" i="4"/>
  <c r="E21" i="4" s="1"/>
  <c r="D20" i="4"/>
  <c r="E20" i="4" s="1"/>
  <c r="D9" i="4"/>
  <c r="E9" i="4" s="1"/>
  <c r="D8" i="4"/>
  <c r="E8" i="4" s="1"/>
  <c r="D7" i="4"/>
  <c r="E7" i="4" s="1"/>
  <c r="D5" i="4"/>
  <c r="E5" i="4" s="1"/>
  <c r="D4" i="4"/>
  <c r="E4" i="4" s="1"/>
  <c r="D3" i="4"/>
  <c r="C38" i="4"/>
  <c r="E38" i="4" s="1"/>
  <c r="C34" i="4"/>
  <c r="E42" i="3"/>
  <c r="U41" i="3"/>
  <c r="E41" i="3" s="1"/>
  <c r="E14" i="3"/>
  <c r="E18" i="3"/>
  <c r="E3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" i="3"/>
  <c r="D47" i="3" s="1"/>
  <c r="Y46" i="3"/>
  <c r="E46" i="3" s="1"/>
  <c r="Y45" i="3"/>
  <c r="Y38" i="3"/>
  <c r="F47" i="3"/>
  <c r="H47" i="3"/>
  <c r="J47" i="3"/>
  <c r="L47" i="3"/>
  <c r="N47" i="3"/>
  <c r="P47" i="3"/>
  <c r="R47" i="3"/>
  <c r="T47" i="3"/>
  <c r="V47" i="3"/>
  <c r="X47" i="3"/>
  <c r="W44" i="3"/>
  <c r="E44" i="3" s="1"/>
  <c r="W43" i="3"/>
  <c r="W38" i="3"/>
  <c r="W33" i="3"/>
  <c r="E33" i="3" s="1"/>
  <c r="W31" i="3"/>
  <c r="W30" i="3"/>
  <c r="W13" i="3"/>
  <c r="E13" i="3" s="1"/>
  <c r="W12" i="3"/>
  <c r="E12" i="3" s="1"/>
  <c r="W11" i="3"/>
  <c r="U39" i="3"/>
  <c r="U35" i="3"/>
  <c r="U32" i="3"/>
  <c r="E32" i="3" s="1"/>
  <c r="U31" i="3"/>
  <c r="E31" i="3" s="1"/>
  <c r="U30" i="3"/>
  <c r="E30" i="3" s="1"/>
  <c r="U29" i="3"/>
  <c r="E29" i="3" s="1"/>
  <c r="U28" i="3"/>
  <c r="U27" i="3"/>
  <c r="U26" i="3"/>
  <c r="U23" i="3"/>
  <c r="U22" i="3"/>
  <c r="U21" i="3"/>
  <c r="U20" i="3"/>
  <c r="U15" i="3"/>
  <c r="E15" i="3" s="1"/>
  <c r="U10" i="3"/>
  <c r="E10" i="3" s="1"/>
  <c r="U9" i="3"/>
  <c r="E9" i="3" s="1"/>
  <c r="U8" i="3"/>
  <c r="U6" i="3"/>
  <c r="U5" i="3"/>
  <c r="S43" i="3"/>
  <c r="E43" i="3" s="1"/>
  <c r="S40" i="3"/>
  <c r="E40" i="3" s="1"/>
  <c r="S28" i="3"/>
  <c r="E28" i="3" s="1"/>
  <c r="S27" i="3"/>
  <c r="E27" i="3" s="1"/>
  <c r="S24" i="3"/>
  <c r="S23" i="3"/>
  <c r="S21" i="3"/>
  <c r="S20" i="3"/>
  <c r="S19" i="3"/>
  <c r="S16" i="3"/>
  <c r="S8" i="3"/>
  <c r="S6" i="3"/>
  <c r="S5" i="3"/>
  <c r="S4" i="3"/>
  <c r="Q8" i="3"/>
  <c r="E8" i="3" s="1"/>
  <c r="Q39" i="3"/>
  <c r="E39" i="3" s="1"/>
  <c r="Q38" i="3"/>
  <c r="Q37" i="3"/>
  <c r="E37" i="3" s="1"/>
  <c r="Q36" i="3"/>
  <c r="E36" i="3" s="1"/>
  <c r="Q35" i="3"/>
  <c r="Q26" i="3"/>
  <c r="E26" i="3" s="1"/>
  <c r="Q25" i="3"/>
  <c r="E25" i="3" s="1"/>
  <c r="Q24" i="3"/>
  <c r="Q20" i="3"/>
  <c r="Q17" i="3"/>
  <c r="Q7" i="3"/>
  <c r="E7" i="3" s="1"/>
  <c r="Q5" i="3"/>
  <c r="Q4" i="3"/>
  <c r="O24" i="3"/>
  <c r="O23" i="3"/>
  <c r="O22" i="3"/>
  <c r="O21" i="3"/>
  <c r="O20" i="3"/>
  <c r="O5" i="3"/>
  <c r="M35" i="3"/>
  <c r="M22" i="3"/>
  <c r="M21" i="3"/>
  <c r="M20" i="3"/>
  <c r="M19" i="3"/>
  <c r="M17" i="3"/>
  <c r="E17" i="3" s="1"/>
  <c r="M5" i="3"/>
  <c r="M4" i="3"/>
  <c r="K19" i="3"/>
  <c r="K16" i="3"/>
  <c r="K6" i="3"/>
  <c r="I19" i="3"/>
  <c r="I16" i="3"/>
  <c r="I5" i="3"/>
  <c r="G35" i="3"/>
  <c r="G4" i="3"/>
  <c r="G47" i="3" s="1"/>
  <c r="Q55" i="2"/>
  <c r="Q56" i="2" s="1"/>
  <c r="O12" i="2"/>
  <c r="O16" i="2"/>
  <c r="O21" i="2"/>
  <c r="O25" i="2"/>
  <c r="O29" i="2"/>
  <c r="O33" i="2"/>
  <c r="O37" i="2"/>
  <c r="O39" i="2"/>
  <c r="O42" i="2"/>
  <c r="L11" i="2"/>
  <c r="D9" i="2"/>
  <c r="E9" i="2" s="1"/>
  <c r="F9" i="2" s="1"/>
  <c r="G9" i="2" s="1"/>
  <c r="H9" i="2" s="1"/>
  <c r="D10" i="2"/>
  <c r="E10" i="2" s="1"/>
  <c r="F10" i="2" s="1"/>
  <c r="G10" i="2" s="1"/>
  <c r="H10" i="2" s="1"/>
  <c r="D11" i="2"/>
  <c r="E11" i="2" s="1"/>
  <c r="F11" i="2" s="1"/>
  <c r="G11" i="2" s="1"/>
  <c r="H11" i="2" s="1"/>
  <c r="D12" i="2"/>
  <c r="E12" i="2" s="1"/>
  <c r="F12" i="2" s="1"/>
  <c r="G12" i="2" s="1"/>
  <c r="H12" i="2" s="1"/>
  <c r="D13" i="2"/>
  <c r="E13" i="2" s="1"/>
  <c r="F13" i="2" s="1"/>
  <c r="G13" i="2" s="1"/>
  <c r="H13" i="2" s="1"/>
  <c r="D14" i="2"/>
  <c r="E14" i="2" s="1"/>
  <c r="F14" i="2" s="1"/>
  <c r="G14" i="2" s="1"/>
  <c r="H14" i="2" s="1"/>
  <c r="D15" i="2"/>
  <c r="E15" i="2" s="1"/>
  <c r="F15" i="2" s="1"/>
  <c r="G15" i="2" s="1"/>
  <c r="H15" i="2" s="1"/>
  <c r="D16" i="2"/>
  <c r="E16" i="2" s="1"/>
  <c r="F16" i="2" s="1"/>
  <c r="G16" i="2" s="1"/>
  <c r="H16" i="2" s="1"/>
  <c r="D17" i="2"/>
  <c r="E17" i="2" s="1"/>
  <c r="F17" i="2" s="1"/>
  <c r="G17" i="2" s="1"/>
  <c r="H17" i="2" s="1"/>
  <c r="D18" i="2"/>
  <c r="E18" i="2" s="1"/>
  <c r="F18" i="2" s="1"/>
  <c r="G18" i="2" s="1"/>
  <c r="H18" i="2" s="1"/>
  <c r="D19" i="2"/>
  <c r="E19" i="2" s="1"/>
  <c r="F19" i="2" s="1"/>
  <c r="G19" i="2" s="1"/>
  <c r="H19" i="2" s="1"/>
  <c r="D20" i="2"/>
  <c r="E20" i="2" s="1"/>
  <c r="F20" i="2" s="1"/>
  <c r="G20" i="2" s="1"/>
  <c r="H20" i="2" s="1"/>
  <c r="D21" i="2"/>
  <c r="E21" i="2" s="1"/>
  <c r="F21" i="2" s="1"/>
  <c r="G21" i="2" s="1"/>
  <c r="H21" i="2" s="1"/>
  <c r="D22" i="2"/>
  <c r="E22" i="2" s="1"/>
  <c r="F22" i="2" s="1"/>
  <c r="G22" i="2" s="1"/>
  <c r="H22" i="2" s="1"/>
  <c r="D23" i="2"/>
  <c r="E23" i="2" s="1"/>
  <c r="F23" i="2" s="1"/>
  <c r="G23" i="2" s="1"/>
  <c r="H23" i="2" s="1"/>
  <c r="D24" i="2"/>
  <c r="E24" i="2" s="1"/>
  <c r="F24" i="2" s="1"/>
  <c r="G24" i="2" s="1"/>
  <c r="H24" i="2" s="1"/>
  <c r="D25" i="2"/>
  <c r="E25" i="2" s="1"/>
  <c r="F25" i="2" s="1"/>
  <c r="G25" i="2" s="1"/>
  <c r="H25" i="2" s="1"/>
  <c r="D26" i="2"/>
  <c r="E26" i="2" s="1"/>
  <c r="F26" i="2" s="1"/>
  <c r="G26" i="2" s="1"/>
  <c r="H26" i="2" s="1"/>
  <c r="D27" i="2"/>
  <c r="E27" i="2" s="1"/>
  <c r="F27" i="2" s="1"/>
  <c r="G27" i="2" s="1"/>
  <c r="H27" i="2" s="1"/>
  <c r="D28" i="2"/>
  <c r="E28" i="2" s="1"/>
  <c r="F28" i="2" s="1"/>
  <c r="G28" i="2" s="1"/>
  <c r="H28" i="2" s="1"/>
  <c r="D29" i="2"/>
  <c r="E29" i="2" s="1"/>
  <c r="F29" i="2" s="1"/>
  <c r="G29" i="2" s="1"/>
  <c r="H29" i="2" s="1"/>
  <c r="D30" i="2"/>
  <c r="E30" i="2" s="1"/>
  <c r="F30" i="2" s="1"/>
  <c r="G30" i="2" s="1"/>
  <c r="H30" i="2" s="1"/>
  <c r="D31" i="2"/>
  <c r="E31" i="2" s="1"/>
  <c r="F31" i="2" s="1"/>
  <c r="G31" i="2" s="1"/>
  <c r="H31" i="2" s="1"/>
  <c r="D32" i="2"/>
  <c r="E32" i="2" s="1"/>
  <c r="F32" i="2" s="1"/>
  <c r="G32" i="2" s="1"/>
  <c r="H32" i="2" s="1"/>
  <c r="D33" i="2"/>
  <c r="E33" i="2" s="1"/>
  <c r="F33" i="2" s="1"/>
  <c r="G33" i="2" s="1"/>
  <c r="H33" i="2" s="1"/>
  <c r="D34" i="2"/>
  <c r="E34" i="2" s="1"/>
  <c r="F34" i="2" s="1"/>
  <c r="G34" i="2" s="1"/>
  <c r="H34" i="2" s="1"/>
  <c r="D35" i="2"/>
  <c r="E35" i="2" s="1"/>
  <c r="F35" i="2" s="1"/>
  <c r="G35" i="2" s="1"/>
  <c r="H35" i="2" s="1"/>
  <c r="D36" i="2"/>
  <c r="E36" i="2" s="1"/>
  <c r="F36" i="2" s="1"/>
  <c r="G36" i="2" s="1"/>
  <c r="H36" i="2" s="1"/>
  <c r="D37" i="2"/>
  <c r="E37" i="2" s="1"/>
  <c r="F37" i="2" s="1"/>
  <c r="G37" i="2" s="1"/>
  <c r="H37" i="2" s="1"/>
  <c r="D38" i="2"/>
  <c r="E38" i="2" s="1"/>
  <c r="F38" i="2" s="1"/>
  <c r="G38" i="2" s="1"/>
  <c r="H38" i="2" s="1"/>
  <c r="D39" i="2"/>
  <c r="E39" i="2" s="1"/>
  <c r="F39" i="2" s="1"/>
  <c r="G39" i="2" s="1"/>
  <c r="H39" i="2" s="1"/>
  <c r="D40" i="2"/>
  <c r="E40" i="2" s="1"/>
  <c r="F40" i="2" s="1"/>
  <c r="G40" i="2" s="1"/>
  <c r="H40" i="2" s="1"/>
  <c r="D41" i="2"/>
  <c r="E41" i="2" s="1"/>
  <c r="F41" i="2" s="1"/>
  <c r="G41" i="2" s="1"/>
  <c r="H41" i="2" s="1"/>
  <c r="D43" i="2"/>
  <c r="E43" i="2" s="1"/>
  <c r="F43" i="2" s="1"/>
  <c r="G43" i="2" s="1"/>
  <c r="H43" i="2" s="1"/>
  <c r="D44" i="2"/>
  <c r="E44" i="2"/>
  <c r="F44" i="2" s="1"/>
  <c r="G44" i="2" s="1"/>
  <c r="H44" i="2" s="1"/>
  <c r="D45" i="2"/>
  <c r="E45" i="2" s="1"/>
  <c r="F45" i="2" s="1"/>
  <c r="G45" i="2" s="1"/>
  <c r="H45" i="2" s="1"/>
  <c r="D46" i="2"/>
  <c r="E46" i="2" s="1"/>
  <c r="F46" i="2" s="1"/>
  <c r="G46" i="2" s="1"/>
  <c r="H46" i="2" s="1"/>
  <c r="D47" i="2"/>
  <c r="E47" i="2" s="1"/>
  <c r="F47" i="2" s="1"/>
  <c r="G47" i="2" s="1"/>
  <c r="H47" i="2" s="1"/>
  <c r="D48" i="2"/>
  <c r="E48" i="2" s="1"/>
  <c r="F48" i="2" s="1"/>
  <c r="G48" i="2" s="1"/>
  <c r="H48" i="2" s="1"/>
  <c r="D49" i="2"/>
  <c r="E49" i="2" s="1"/>
  <c r="F49" i="2" s="1"/>
  <c r="G49" i="2" s="1"/>
  <c r="H49" i="2" s="1"/>
  <c r="D50" i="2"/>
  <c r="E50" i="2" s="1"/>
  <c r="F50" i="2" s="1"/>
  <c r="G50" i="2" s="1"/>
  <c r="H50" i="2" s="1"/>
  <c r="D51" i="2"/>
  <c r="E51" i="2" s="1"/>
  <c r="F51" i="2" s="1"/>
  <c r="G51" i="2" s="1"/>
  <c r="H51" i="2" s="1"/>
  <c r="D52" i="2"/>
  <c r="E52" i="2" s="1"/>
  <c r="F52" i="2" s="1"/>
  <c r="G52" i="2" s="1"/>
  <c r="H52" i="2" s="1"/>
  <c r="D53" i="2"/>
  <c r="E53" i="2" s="1"/>
  <c r="F53" i="2" s="1"/>
  <c r="G53" i="2" s="1"/>
  <c r="H53" i="2" s="1"/>
  <c r="D54" i="2"/>
  <c r="E54" i="2" s="1"/>
  <c r="F54" i="2" s="1"/>
  <c r="G54" i="2" s="1"/>
  <c r="H54" i="2" s="1"/>
  <c r="D8" i="2"/>
  <c r="E8" i="2" s="1"/>
  <c r="F8" i="2" s="1"/>
  <c r="G8" i="2" s="1"/>
  <c r="H8" i="2" s="1"/>
  <c r="N9" i="2"/>
  <c r="N10" i="2"/>
  <c r="L10" i="2"/>
  <c r="L18" i="2"/>
  <c r="L15" i="2"/>
  <c r="L13" i="2"/>
  <c r="L14" i="2"/>
  <c r="N20" i="2"/>
  <c r="N53" i="2"/>
  <c r="O53" i="2" s="1"/>
  <c r="N52" i="2"/>
  <c r="O52" i="2" s="1"/>
  <c r="N51" i="2"/>
  <c r="O51" i="2" s="1"/>
  <c r="N50" i="2"/>
  <c r="O50" i="2" s="1"/>
  <c r="N48" i="2"/>
  <c r="O48" i="2" s="1"/>
  <c r="N47" i="2"/>
  <c r="O47" i="2" s="1"/>
  <c r="N46" i="2"/>
  <c r="O46" i="2" s="1"/>
  <c r="N41" i="2"/>
  <c r="O41" i="2" s="1"/>
  <c r="N36" i="2"/>
  <c r="O36" i="2" s="1"/>
  <c r="N32" i="2"/>
  <c r="O32" i="2" s="1"/>
  <c r="N28" i="2"/>
  <c r="O28" i="2" s="1"/>
  <c r="N24" i="2"/>
  <c r="O24" i="2" s="1"/>
  <c r="N15" i="2"/>
  <c r="M55" i="2"/>
  <c r="L19" i="2"/>
  <c r="O19" i="2" s="1"/>
  <c r="L20" i="2"/>
  <c r="O20" i="2" s="1"/>
  <c r="L22" i="2"/>
  <c r="O22" i="2" s="1"/>
  <c r="L23" i="2"/>
  <c r="O23" i="2" s="1"/>
  <c r="L26" i="2"/>
  <c r="O26" i="2" s="1"/>
  <c r="L27" i="2"/>
  <c r="O27" i="2" s="1"/>
  <c r="L30" i="2"/>
  <c r="O30" i="2" s="1"/>
  <c r="L31" i="2"/>
  <c r="O31" i="2" s="1"/>
  <c r="L34" i="2"/>
  <c r="O34" i="2" s="1"/>
  <c r="L35" i="2"/>
  <c r="O35" i="2" s="1"/>
  <c r="L38" i="2"/>
  <c r="O38" i="2" s="1"/>
  <c r="L40" i="2"/>
  <c r="O40" i="2" s="1"/>
  <c r="L43" i="2"/>
  <c r="O43" i="2" s="1"/>
  <c r="L44" i="2"/>
  <c r="O44" i="2" s="1"/>
  <c r="L45" i="2"/>
  <c r="O45" i="2" s="1"/>
  <c r="L49" i="2"/>
  <c r="O49" i="2" s="1"/>
  <c r="L9" i="2"/>
  <c r="O9" i="2" s="1"/>
  <c r="K55" i="2"/>
  <c r="I55" i="2"/>
  <c r="J10" i="2"/>
  <c r="O10" i="2" s="1"/>
  <c r="J11" i="2"/>
  <c r="O11" i="2" s="1"/>
  <c r="J13" i="2"/>
  <c r="J14" i="2"/>
  <c r="J17" i="2"/>
  <c r="O17" i="2" s="1"/>
  <c r="J18" i="2"/>
  <c r="O18" i="2" s="1"/>
  <c r="J54" i="2"/>
  <c r="O54" i="2" s="1"/>
  <c r="J8" i="2"/>
  <c r="O8" i="2" s="1"/>
  <c r="C2" i="1"/>
  <c r="I19" i="6" l="1"/>
  <c r="J19" i="6"/>
  <c r="K19" i="6" s="1"/>
  <c r="L19" i="6" s="1"/>
  <c r="P19" i="6" s="1"/>
  <c r="O14" i="2"/>
  <c r="E19" i="3"/>
  <c r="E23" i="3"/>
  <c r="I16" i="6"/>
  <c r="K16" i="6" s="1"/>
  <c r="I7" i="6"/>
  <c r="K7" i="6" s="1"/>
  <c r="M7" i="6" s="1"/>
  <c r="N7" i="6" s="1"/>
  <c r="I29" i="6"/>
  <c r="K29" i="6" s="1"/>
  <c r="M29" i="6" s="1"/>
  <c r="J29" i="6"/>
  <c r="I21" i="6"/>
  <c r="J21" i="6"/>
  <c r="O13" i="2"/>
  <c r="E38" i="3"/>
  <c r="I24" i="6"/>
  <c r="K24" i="6" s="1"/>
  <c r="M24" i="6" s="1"/>
  <c r="I23" i="6"/>
  <c r="K23" i="6" s="1"/>
  <c r="M23" i="6" s="1"/>
  <c r="I47" i="3"/>
  <c r="E22" i="3"/>
  <c r="I28" i="6"/>
  <c r="J28" i="6"/>
  <c r="I12" i="6"/>
  <c r="J12" i="6"/>
  <c r="I13" i="6"/>
  <c r="J13" i="6"/>
  <c r="I25" i="6"/>
  <c r="J25" i="6"/>
  <c r="K25" i="6" s="1"/>
  <c r="L25" i="6" s="1"/>
  <c r="P25" i="6" s="1"/>
  <c r="I5" i="6"/>
  <c r="G30" i="6"/>
  <c r="C45" i="4"/>
  <c r="O15" i="2"/>
  <c r="E20" i="3"/>
  <c r="M25" i="6"/>
  <c r="N25" i="6" s="1"/>
  <c r="M15" i="6"/>
  <c r="N15" i="6" s="1"/>
  <c r="L15" i="6"/>
  <c r="P15" i="6" s="1"/>
  <c r="M19" i="6"/>
  <c r="N19" i="6" s="1"/>
  <c r="K28" i="6"/>
  <c r="L28" i="6" s="1"/>
  <c r="P28" i="6" s="1"/>
  <c r="K12" i="6"/>
  <c r="M12" i="6" s="1"/>
  <c r="N12" i="6" s="1"/>
  <c r="I8" i="6"/>
  <c r="L9" i="6"/>
  <c r="P9" i="6" s="1"/>
  <c r="M9" i="6"/>
  <c r="N9" i="6" s="1"/>
  <c r="L10" i="6"/>
  <c r="P10" i="6" s="1"/>
  <c r="M10" i="6"/>
  <c r="N10" i="6" s="1"/>
  <c r="M6" i="6"/>
  <c r="N6" i="6" s="1"/>
  <c r="L6" i="6"/>
  <c r="P6" i="6" s="1"/>
  <c r="L7" i="6"/>
  <c r="P7" i="6" s="1"/>
  <c r="L20" i="6"/>
  <c r="P20" i="6" s="1"/>
  <c r="M20" i="6"/>
  <c r="M16" i="6"/>
  <c r="N16" i="6" s="1"/>
  <c r="L16" i="6"/>
  <c r="P16" i="6" s="1"/>
  <c r="M11" i="6"/>
  <c r="N11" i="6" s="1"/>
  <c r="L11" i="6"/>
  <c r="P11" i="6" s="1"/>
  <c r="E35" i="3"/>
  <c r="E24" i="3"/>
  <c r="D18" i="4"/>
  <c r="E18" i="4" s="1"/>
  <c r="Q47" i="3"/>
  <c r="E4" i="3"/>
  <c r="M47" i="3"/>
  <c r="O47" i="3"/>
  <c r="E3" i="4"/>
  <c r="D47" i="4"/>
  <c r="D34" i="4"/>
  <c r="E34" i="4" s="1"/>
  <c r="S47" i="3"/>
  <c r="U47" i="3"/>
  <c r="E16" i="3"/>
  <c r="E21" i="3"/>
  <c r="K47" i="3"/>
  <c r="W47" i="3"/>
  <c r="Y47" i="3"/>
  <c r="E11" i="3"/>
  <c r="E5" i="3"/>
  <c r="E45" i="3"/>
  <c r="E6" i="3"/>
  <c r="N55" i="2"/>
  <c r="L55" i="2"/>
  <c r="J55" i="2"/>
  <c r="D45" i="4" l="1"/>
  <c r="D48" i="4" s="1"/>
  <c r="L12" i="6"/>
  <c r="P12" i="6" s="1"/>
  <c r="K13" i="6"/>
  <c r="K21" i="6"/>
  <c r="O55" i="2"/>
  <c r="M28" i="6"/>
  <c r="N28" i="6" s="1"/>
  <c r="I30" i="6"/>
  <c r="K8" i="6"/>
  <c r="E47" i="3"/>
  <c r="L21" i="6" l="1"/>
  <c r="P21" i="6" s="1"/>
  <c r="M21" i="6"/>
  <c r="N21" i="6" s="1"/>
  <c r="M13" i="6"/>
  <c r="N13" i="6" s="1"/>
  <c r="L13" i="6"/>
  <c r="P13" i="6" s="1"/>
  <c r="J30" i="6"/>
  <c r="K5" i="6"/>
  <c r="M8" i="6"/>
  <c r="N8" i="6" s="1"/>
  <c r="L8" i="6"/>
  <c r="P8" i="6" s="1"/>
  <c r="M5" i="6" l="1"/>
  <c r="N5" i="6" s="1"/>
  <c r="L5" i="6"/>
  <c r="K30" i="6"/>
  <c r="L30" i="6" l="1"/>
  <c r="P5" i="6"/>
  <c r="P30" i="6" s="1"/>
  <c r="N30" i="6"/>
  <c r="M30" i="6"/>
</calcChain>
</file>

<file path=xl/sharedStrings.xml><?xml version="1.0" encoding="utf-8"?>
<sst xmlns="http://schemas.openxmlformats.org/spreadsheetml/2006/main" count="364" uniqueCount="244">
  <si>
    <t>доп.согл.№2 от 26.10.2015</t>
  </si>
  <si>
    <t>РС-157-02-07-02доп</t>
  </si>
  <si>
    <t>Устройство монолитного ж/бетонного пояса. Родильное отделение на 88 скотомест II очередь (Новое стро-во)</t>
  </si>
  <si>
    <t>РС-157-02-08-02-доп</t>
  </si>
  <si>
    <t>РС-02-08-02доп.2</t>
  </si>
  <si>
    <t>Общестроительные работы (доп.работы). Ветеринарно-профилактический пункт со стационаром на 24 головы молодняка</t>
  </si>
  <si>
    <t>РС-02-08-09</t>
  </si>
  <si>
    <t>Электроосвещение и силовое электрооборудование (на исключение). Ветеринарно-профилактический пункт со стационаром на 24 головы и 26 голов молодняка</t>
  </si>
  <si>
    <t>РС-03-08-01доп</t>
  </si>
  <si>
    <t>Общестроительные работы ( будка весовщика доп.работы). Автомобильные весы г/п 30т на один проезд (новое строительство)</t>
  </si>
  <si>
    <t>РС-157-04-01</t>
  </si>
  <si>
    <t>РС-157-06-01</t>
  </si>
  <si>
    <t>Наружные сети водопровода</t>
  </si>
  <si>
    <t>РС-157-06-02</t>
  </si>
  <si>
    <t>Жижесборник емкостью 8 м3</t>
  </si>
  <si>
    <t>РС-157-06-03</t>
  </si>
  <si>
    <t>Канализация хозяйственно-бытовая</t>
  </si>
  <si>
    <t>РС-157-06-04</t>
  </si>
  <si>
    <t>Наружные тепловые сети</t>
  </si>
  <si>
    <t>Система электроснабжения</t>
  </si>
  <si>
    <t>доп.согл.№4 от 11.12.2015</t>
  </si>
  <si>
    <t>РС-02-07-05доп</t>
  </si>
  <si>
    <t>Проёмы (ворота 8 шт) Родильное отдление на 88 скотомест II очередь (Новое строительство)</t>
  </si>
  <si>
    <t>РС-02-07-06доп</t>
  </si>
  <si>
    <t>олы (доп.работы). Родильное отделение на 88 скотомест II очередь (Новое строительство)</t>
  </si>
  <si>
    <t>РС-02-08доп.5</t>
  </si>
  <si>
    <t>Дополнитльные работы. Ветеринарно-проф.пункт со стационаром на 24 головы и 26 голов молодняка</t>
  </si>
  <si>
    <t>РС-02-08-09доп.1</t>
  </si>
  <si>
    <t>Электроосвещение и силовое электрооборудование (доп.работы) Ветеринарно-проф.пункт  со стационаром на 24 головы и 26 голов</t>
  </si>
  <si>
    <t>РС-02-08-09доп</t>
  </si>
  <si>
    <t>Электроосвещение и силовое электрооборудование. Ветеринарно-проф.пункт  со стационаром на 24 головы и 26 голов</t>
  </si>
  <si>
    <t>РС-03-08-01доп.2</t>
  </si>
  <si>
    <t>Общестроительные работы (будка весовщика доп.работы) Автомобильные весы г/п 30т на один проезд (Новое строительство)</t>
  </si>
  <si>
    <t>РС-157-06-02доп.1</t>
  </si>
  <si>
    <t>Жижесборник ёмкостью 8 м3 (доп.работы)</t>
  </si>
  <si>
    <t>РС-02-08-12доп</t>
  </si>
  <si>
    <t>Технологическое оборудование</t>
  </si>
  <si>
    <t>РС-02-07-04</t>
  </si>
  <si>
    <t>Перекрытие, покрытие на исключение. Родильное отделение на 88 скотомест II очередь (Новое строительство)</t>
  </si>
  <si>
    <t>Договор генерального подряда №СГП-1/2012 от 12.07.2012г. Между ООО "СтройитеХ" и ГУП СО "Усинское"</t>
  </si>
  <si>
    <t>Стоимость 118 100 000,00 руб.</t>
  </si>
  <si>
    <t>Реконструкция молочной фермы на 800 голов с телятником на 1200 голов, с доильным отделением в ГУП СО "Усинское" Сызранского района Самарской области</t>
  </si>
  <si>
    <t>Вертикальное планировка. Дополнительно</t>
  </si>
  <si>
    <t>Вертикальная планировка</t>
  </si>
  <si>
    <t>Хранилище комбикормов на 300 тн</t>
  </si>
  <si>
    <t>Здание для трех тракторов со складом десзосредств и навесом S=180м2</t>
  </si>
  <si>
    <t>Подготовка территории. Здание для трех тракторов со складом дезосредств и навесом S=180м2</t>
  </si>
  <si>
    <t>01/08/2012-31/08/2012</t>
  </si>
  <si>
    <t>01/09/2012-30/09/2012</t>
  </si>
  <si>
    <t>Помещение для содержания телят до 4 месяцев на 160 голов</t>
  </si>
  <si>
    <t>Здание для выращивания молодняка от 4 до 25 месяцев на 702 головы и для сухостойных коров на 124 головы</t>
  </si>
  <si>
    <t xml:space="preserve">Коровник беспривязного содержания на 626 </t>
  </si>
  <si>
    <t>Родильное отделение №1</t>
  </si>
  <si>
    <t>Санитарный блок на 40 человек</t>
  </si>
  <si>
    <t xml:space="preserve">Доильно-молочный блок </t>
  </si>
  <si>
    <t>Жижесборник емкостью 100 м3</t>
  </si>
  <si>
    <t xml:space="preserve">Всего </t>
  </si>
  <si>
    <t>Выгульные площадки зданий коровника (01), здания для выращивания молодняка (02), помещение для содержания телят (05а)</t>
  </si>
  <si>
    <t>01/10/2012-31/10/2012</t>
  </si>
  <si>
    <t>Благоустройство территории (РС-07-01-02 на 01.01.2012)</t>
  </si>
  <si>
    <t>Строительство навозохранилища №2 (РС-03-01-01 на 01.01.2012)</t>
  </si>
  <si>
    <t>Земляные работы</t>
  </si>
  <si>
    <t>Фундаменты</t>
  </si>
  <si>
    <t>Стены</t>
  </si>
  <si>
    <t>Стены (РС-03-07-03 на 01.01.2012)</t>
  </si>
  <si>
    <t xml:space="preserve">Водоснабжение, канализация. </t>
  </si>
  <si>
    <t>Отопление, вентиляция, теплоснабжение.</t>
  </si>
  <si>
    <t xml:space="preserve">Теплоснабжение, вентиляция. </t>
  </si>
  <si>
    <t xml:space="preserve">Коровник, канализация. </t>
  </si>
  <si>
    <t xml:space="preserve">Отопление, вентиляция. </t>
  </si>
  <si>
    <t>Водоснабжение, канализация.</t>
  </si>
  <si>
    <t>Стены (РС-03-09-03 на 01.01.2012)</t>
  </si>
  <si>
    <t>ПЗ с СП и НР</t>
  </si>
  <si>
    <t>Автоматическая система пожарной сигнализации (РС-02-05-03 на 01.01.2012)</t>
  </si>
  <si>
    <t>врем. здания 2,48%</t>
  </si>
  <si>
    <t>зимн. 2,97%</t>
  </si>
  <si>
    <t>К=0,9589</t>
  </si>
  <si>
    <t>ндс 18%</t>
  </si>
  <si>
    <t>всего</t>
  </si>
  <si>
    <t>Общестроительные работы</t>
  </si>
  <si>
    <t>Общестроительные работы (РС-02-02-01 на 01.01.2012)</t>
  </si>
  <si>
    <t>Общестроительные работы (РС-02-01-01 на 01.01.2012)</t>
  </si>
  <si>
    <t>Автоматическая система пожарной сигнализации (РС-02-04-03 на 01.01.2012)</t>
  </si>
  <si>
    <t>Автоматическая система пожарной сигнализации (РС-02-03-02 на 01.01.2012)</t>
  </si>
  <si>
    <t>Жижесборник 27а (РС-06-12-02 на 01.01.2012)</t>
  </si>
  <si>
    <t>Жижесборник 27б (РС-06-12-02 на 01.01.2012)</t>
  </si>
  <si>
    <t>Жижесборник 28в (РС-03-01-02 на 01.01.2012)</t>
  </si>
  <si>
    <t>Электроснабжение 0,4кВт (РС-04-01-01 на 01.01.2012)</t>
  </si>
  <si>
    <t>Электроснабжение 10кВт (РС-04-03-01 на 01.01.2012)</t>
  </si>
  <si>
    <t>Транформаторная подстанция (РС-04-02-01 на 01.01.2012)</t>
  </si>
  <si>
    <t>Станция очистки воды (РС-06-12-01 на 01.01.2012)</t>
  </si>
  <si>
    <t>без ндс</t>
  </si>
  <si>
    <t>с ндс</t>
  </si>
  <si>
    <t>РС-02-07-05</t>
  </si>
  <si>
    <t>Проемы (вороты) на исключение. Родильное отделение на 88 скотомест II очередь</t>
  </si>
  <si>
    <t>РС-02-07-06</t>
  </si>
  <si>
    <t>Полы на исключение, родильное отделение на 88 скотомест II очередь</t>
  </si>
  <si>
    <t>РС-02-07-09</t>
  </si>
  <si>
    <t>Прочие работы на исключение, родильное отделение на 88 скотомест II очередь</t>
  </si>
  <si>
    <t>РС-02-07-13</t>
  </si>
  <si>
    <t>Электроосвещение и силовое электрооборудование на исключение</t>
  </si>
  <si>
    <t>РС-03-08-02</t>
  </si>
  <si>
    <t>Технологическое оборудование (на исключение) Атомобильные весы</t>
  </si>
  <si>
    <t>РС-02-08-12</t>
  </si>
  <si>
    <t>Технологическое оборудование (на исключение) Ветерин.-профилактический пункт со стационаром на 24 головы и 26 голов</t>
  </si>
  <si>
    <t>Электроосещение и силовое электрооборудование на исключение Ветерин.-профилактический пункт со стационаром на 24 головы и 26 голов</t>
  </si>
  <si>
    <t>Родильное отдление на 88 скотомест (II очередь)</t>
  </si>
  <si>
    <t>РС-02-07-01</t>
  </si>
  <si>
    <t>24/06/2015-29/07/2015</t>
  </si>
  <si>
    <t xml:space="preserve">Автомомбильные весы г/п 30т на один проезд </t>
  </si>
  <si>
    <t>РС-03-08-01</t>
  </si>
  <si>
    <t>Всего</t>
  </si>
  <si>
    <t>РС-02-07-02</t>
  </si>
  <si>
    <t>30/07/2015-17/08/2015</t>
  </si>
  <si>
    <t>Ветеринарно-профилактический пункт со стационаром на 24 головы и 26 голов молодняка</t>
  </si>
  <si>
    <t>РС-02-08-02</t>
  </si>
  <si>
    <t>Покрытие</t>
  </si>
  <si>
    <t>РС-02-08-03</t>
  </si>
  <si>
    <t>18/08/2015-08/09/2015</t>
  </si>
  <si>
    <t>Перекрытие, покрытие</t>
  </si>
  <si>
    <t>09/09/2015-28/09/2015</t>
  </si>
  <si>
    <t>Отделочные работы</t>
  </si>
  <si>
    <t>РС-02-08-05</t>
  </si>
  <si>
    <t>Прочие работы</t>
  </si>
  <si>
    <t>РС-02-08-08</t>
  </si>
  <si>
    <t>Стены (непредвиденные)</t>
  </si>
  <si>
    <t>РС-02-08-07</t>
  </si>
  <si>
    <t>Полы</t>
  </si>
  <si>
    <t>29/09/2015-15/10/2015</t>
  </si>
  <si>
    <t>Проемы</t>
  </si>
  <si>
    <t>РС-02-08-04</t>
  </si>
  <si>
    <t>Кровля</t>
  </si>
  <si>
    <t>РС-02-08-06</t>
  </si>
  <si>
    <t>16/10/2015-30/10/2015</t>
  </si>
  <si>
    <t>Устройство монолитного пояса</t>
  </si>
  <si>
    <t>Непредвиденные</t>
  </si>
  <si>
    <t>Жижесборник</t>
  </si>
  <si>
    <t>Тепловые сети</t>
  </si>
  <si>
    <t>02/11/2015-30/11/2015</t>
  </si>
  <si>
    <t xml:space="preserve">Будка весовщика </t>
  </si>
  <si>
    <t>Отопление, теплоснабжение</t>
  </si>
  <si>
    <t>Водопровод, канализация</t>
  </si>
  <si>
    <t>Канализация хоз.бытовая</t>
  </si>
  <si>
    <t>РС-02-08-10</t>
  </si>
  <si>
    <t>РС-02-08-13</t>
  </si>
  <si>
    <t>01/12/2015-10/12/2015</t>
  </si>
  <si>
    <t>Окна</t>
  </si>
  <si>
    <t>Электроосвещение</t>
  </si>
  <si>
    <t>Электроосвещение (доп.работы)</t>
  </si>
  <si>
    <t xml:space="preserve">АПС </t>
  </si>
  <si>
    <t>РС-02-08-11</t>
  </si>
  <si>
    <t>11/12/2015-15/12/2015</t>
  </si>
  <si>
    <t>Проемы (доп)</t>
  </si>
  <si>
    <t>Дополнительные работы</t>
  </si>
  <si>
    <t>Общестроительные работы (пандус)</t>
  </si>
  <si>
    <t>Наименование</t>
  </si>
  <si>
    <t>№ сметы</t>
  </si>
  <si>
    <t>Стоимость планируемых работ, руб. (приложние №1 к согл.№61 от 31.03.2015г.)</t>
  </si>
  <si>
    <t>Стоимость выполненных работ, руб. (представлено по формам КС-2 за 2015 год)</t>
  </si>
  <si>
    <t>Родильное отделение на 88 скотомест №2</t>
  </si>
  <si>
    <t>РС-02-07-03</t>
  </si>
  <si>
    <t>РС-02-07-07</t>
  </si>
  <si>
    <t>РС-02-07-08</t>
  </si>
  <si>
    <t>Монтаж технологического оборудования (без стоимости оборудования)</t>
  </si>
  <si>
    <t>РС-02-07-10</t>
  </si>
  <si>
    <t>Отопление, вентиляция, теплоснабжение</t>
  </si>
  <si>
    <t>РС-02-07-11</t>
  </si>
  <si>
    <t>РС-02-07-12</t>
  </si>
  <si>
    <t>Электроосвещение и силовое электрооборудование</t>
  </si>
  <si>
    <t>Автоматическая пожарная сигнализация</t>
  </si>
  <si>
    <t>РС-02-07-14</t>
  </si>
  <si>
    <t>Итого</t>
  </si>
  <si>
    <t>Ветеринарно-профилактический пункт со стационаром на 24 головы молодняка</t>
  </si>
  <si>
    <t xml:space="preserve">Кровля </t>
  </si>
  <si>
    <t>Автомобильные весы г/п 30 тн на один проезд (Новое строительство)</t>
  </si>
  <si>
    <t>Общестроительные и пусконаладочные работы, прочие затраты, строительный контроль,  авторский надзор, временные здания и сооружения, непредвиденные расходы</t>
  </si>
  <si>
    <t>Дополнительные общестроительные работы</t>
  </si>
  <si>
    <t>Общестроительные работы (устройство пандуса)</t>
  </si>
  <si>
    <t>Дополнительное соглашение №4 от 11.12.2015г. к договору подряда №1 от 24.06.2015г.</t>
  </si>
  <si>
    <t>Наиенование работ</t>
  </si>
  <si>
    <t>№ п/п</t>
  </si>
  <si>
    <t>Проёмы (ворота 8 шт). Родильное отделение на 88 скотомест II очередь (Новое строительство)</t>
  </si>
  <si>
    <t>Сумма с НР и СП</t>
  </si>
  <si>
    <t>Полы (доп. работы). Родильное отделение на 88 скотомест II очередь (Новое строительство)</t>
  </si>
  <si>
    <t>Дополнительные работы. Ветеринарно-профилактический пункт со стационаром на 24 головы и 26 голов молодняка</t>
  </si>
  <si>
    <t>Электроосвещение и силовое электрооборудование (доп.работы). Ветеринарно-профилактический пункт со стационаром на 24 головы и 26 голов молодняка</t>
  </si>
  <si>
    <t>Электроосвещение и силовое электрооборудование. Ветеринарно-профилактический пункт со стационаром на 24 головы и 26 голов молодняка</t>
  </si>
  <si>
    <t>Общестроительные работы (будка весовщика доп. Работы). Автомобильные весы г/п 30 т на один проезд (Новое строительство)</t>
  </si>
  <si>
    <t>РС-02-08-12доп.</t>
  </si>
  <si>
    <t>Проемы (ворота) на исключение. Родильное отделение на 88 скотомест II очередь (Новое строительство)</t>
  </si>
  <si>
    <t>Полы на исключение. Родильное отделение на 88 скотомест II очередь (Новое строительство)</t>
  </si>
  <si>
    <t>Прочик работы на исключение. Родильное отделение на 88 скотомест II очередь (Новое строительство)</t>
  </si>
  <si>
    <t>Электроосвещение и силовое электрооборудование (на исключение). Родильное отделение на 88 скотомест II очередь (Новое строительство)</t>
  </si>
  <si>
    <t>Технологическое оборудование (на исключение) Автомобильные весы г/п 30 т на один проезд (Новое строительство)</t>
  </si>
  <si>
    <t>Технологическое оборудование (на исключение) Ветеринарно-профилактический пункт со стационаром на 24 головы и 26 голов молодняка</t>
  </si>
  <si>
    <t>Электроосвещение и силовое электрооборудование на исключение. Ветеринарно-профилактический пункт со стационаром на 24 головы и 26 голов молодняка.</t>
  </si>
  <si>
    <t>Проемы (ворота)_ на исключение. Родильное отделение на 88 скотомест II очередь (Новое строительство)</t>
  </si>
  <si>
    <t>д.с. №4 от 11.12.2015г. к договору подряда №1 от 24.06.2015г.</t>
  </si>
  <si>
    <t>№ по ГП</t>
  </si>
  <si>
    <t>Наименование объектов</t>
  </si>
  <si>
    <t xml:space="preserve">Эстакада для погрузки скота </t>
  </si>
  <si>
    <t>Выгульные площадки для молодняка</t>
  </si>
  <si>
    <t>Галерея 1</t>
  </si>
  <si>
    <t>Галерея 2</t>
  </si>
  <si>
    <t>Стоимость реконструкции объектов, тыс. руб.</t>
  </si>
  <si>
    <t>Всего стоимость реконструкции объектов, тыс. руб.</t>
  </si>
  <si>
    <t>2 пусковой комплекс 
(Положительное заключение госэкспертизы № 63-1-1448-12 от 02.05.2012)</t>
  </si>
  <si>
    <t>1 пусковой комплекс (Положительное заключение госэкспертизы № 63-1-1420-12 от 11.04.2012)</t>
  </si>
  <si>
    <t>Стоимость реконструкции объектов , тыс. руб.</t>
  </si>
  <si>
    <t>Стоимость реконструкции объектов в ценах 2 квартала 2012 года,  тыс. руб.</t>
  </si>
  <si>
    <t>Ориентировочная стоимость реконструкции объектов в ценах 3 квартала 2017 года,  тыс. руб.</t>
  </si>
  <si>
    <t>Стоимость реконструкции, согласно финансовой модели</t>
  </si>
  <si>
    <t>Ориентировочная стоимость реконструкции объектов в ценах 1 квартала 2018 года,  тыс. руб.</t>
  </si>
  <si>
    <t>Объект незавершенного строительства (Родильное отделение на 88 скотомест с профилакторием на 40 мест)</t>
  </si>
  <si>
    <t xml:space="preserve"> Объект незавершенного строительства (Родильное отделение на 88 скотомест с профилакторием на 40 мест (II очередь)</t>
  </si>
  <si>
    <t>Объект незавершенного строительства (Ветеринарно-профилактический пункт со стационаром на 24 головы и 26 голов молодняка)</t>
  </si>
  <si>
    <t xml:space="preserve"> Объект незавершенного строительства (Помещение для содержания телят до 4 месяцев на 160 голов)</t>
  </si>
  <si>
    <t xml:space="preserve"> Объект незавершенного строительства (Траншея для хранения силоса (сенажа) вместимостью 1000 (800) тонн)</t>
  </si>
  <si>
    <t xml:space="preserve"> Объект незавершенного строительства (Хранилище комбикормов на 300 тн)</t>
  </si>
  <si>
    <t xml:space="preserve"> Объект незавершенного строительства(Автомобильные весы г/п 30т на один проезд)</t>
  </si>
  <si>
    <t xml:space="preserve"> Объект незавершенного строительства (Доильно-молочный блок)</t>
  </si>
  <si>
    <t xml:space="preserve"> Объект незавершенного строительства (Санитарный блок на 40 человек)</t>
  </si>
  <si>
    <t xml:space="preserve"> Объект незавершенного строительства (Хранилище для сена</t>
  </si>
  <si>
    <t xml:space="preserve"> Объект незавершенного строительства (Трансформаторная подстанция)</t>
  </si>
  <si>
    <t xml:space="preserve"> Объект незавершенного строительства (Убойная площадка)</t>
  </si>
  <si>
    <t xml:space="preserve"> Объект незавершенного строительства (Котельная №1)
 Объект незавершенного строительства (Котельная №2)
 Объект незавершенного строительства (Котельная №3)
</t>
  </si>
  <si>
    <t xml:space="preserve"> Объект незавершенного строительства (Жижесборник 21ж)
 Объект незавершенного строительства (Жижесборник 27 б)
 Объект незавершенного строительства (Жижесборник 27а)
 Объект незавершенного строительства (Жижесборник 28 в) 
 Объект незавершенного строительства (Жижесборник емкостью 100 м3 21а)
</t>
  </si>
  <si>
    <t xml:space="preserve"> Объект незавершенного строительства (Пожарный резервуар емкостью 250м3)</t>
  </si>
  <si>
    <t xml:space="preserve"> Объект незавершенного строительства (Ограждение)</t>
  </si>
  <si>
    <t xml:space="preserve"> Объект незавершенного строительства (Навозохранилище емкостью 13500т)
 Объект незавершенного строительства (Навозохранилище №2)
</t>
  </si>
  <si>
    <t xml:space="preserve">Объект незавершенного строительства (Въездной дезбарьер емкостью 5,4 м3)
 Объект незавершенного строительства (Въездной дезбарьер емкостью 5,4 м3)
</t>
  </si>
  <si>
    <t xml:space="preserve"> Объект незавершенного строительства (Коровник беспривязного содержания на 626 скотомест)</t>
  </si>
  <si>
    <t xml:space="preserve"> Объект незавершенного строительства (Здание для выращивания молодняка от 4 до 25 мес. на 702 гол. и для сухостойных коров на 124 головы)</t>
  </si>
  <si>
    <t xml:space="preserve"> Объект незавершенного строительства (Здание для трех тракторов со складом дезсредств и навесом</t>
  </si>
  <si>
    <t xml:space="preserve">Перечень объектов, подлежащих реконструкции (строительство при необходимости), являющихся собственностью Самарской области </t>
  </si>
  <si>
    <t>7 а</t>
  </si>
  <si>
    <t>7 б</t>
  </si>
  <si>
    <t>12, 12 а</t>
  </si>
  <si>
    <t>14 а, б</t>
  </si>
  <si>
    <t>15 а,б,в,г,ж</t>
  </si>
  <si>
    <t>18 а, б, в</t>
  </si>
  <si>
    <t>5 а</t>
  </si>
  <si>
    <t>4 а</t>
  </si>
  <si>
    <r>
      <t xml:space="preserve">
</t>
    </r>
    <r>
      <rPr>
        <sz val="13"/>
        <color theme="1"/>
        <rFont val="Times New Roman"/>
        <family val="1"/>
        <charset val="204"/>
      </rPr>
      <t xml:space="preserve">ПРИЛОЖЕНИЕ 4
к концессионному соглашению
о реконструкции и эксплуатации молочной фермы на 800 голов с телятником 
на 1774 головы и с доильным отделением в Сызранском районе Самарской области
от ______________________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</si>
</sst>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17" fontId="0" fillId="0" borderId="0" xfId="0" applyNumberFormat="1"/>
    <xf numFmtId="4" fontId="0" fillId="0" borderId="0" xfId="0" applyNumberFormat="1"/>
    <xf numFmtId="0" fontId="0" fillId="2" borderId="0" xfId="0" applyFill="1"/>
    <xf numFmtId="4" fontId="0" fillId="2" borderId="0" xfId="0" applyNumberFormat="1" applyFill="1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4" fontId="0" fillId="3" borderId="1" xfId="0" applyNumberFormat="1" applyFill="1" applyBorder="1"/>
    <xf numFmtId="4" fontId="1" fillId="3" borderId="1" xfId="0" applyNumberFormat="1" applyFont="1" applyFill="1" applyBorder="1"/>
    <xf numFmtId="0" fontId="1" fillId="0" borderId="0" xfId="0" applyFont="1" applyAlignment="1">
      <alignment horizontal="center"/>
    </xf>
    <xf numFmtId="4" fontId="0" fillId="5" borderId="1" xfId="0" applyNumberFormat="1" applyFill="1" applyBorder="1"/>
    <xf numFmtId="4" fontId="1" fillId="5" borderId="1" xfId="0" applyNumberFormat="1" applyFont="1" applyFill="1" applyBorder="1"/>
    <xf numFmtId="0" fontId="1" fillId="6" borderId="1" xfId="0" applyFont="1" applyFill="1" applyBorder="1"/>
    <xf numFmtId="4" fontId="1" fillId="6" borderId="0" xfId="0" applyNumberFormat="1" applyFont="1" applyFill="1"/>
    <xf numFmtId="0" fontId="1" fillId="6" borderId="0" xfId="0" applyFont="1" applyFill="1"/>
    <xf numFmtId="0" fontId="1" fillId="0" borderId="1" xfId="0" applyFont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4" fontId="0" fillId="0" borderId="1" xfId="0" applyNumberFormat="1" applyBorder="1" applyAlignment="1">
      <alignment horizontal="right" wrapText="1"/>
    </xf>
    <xf numFmtId="4" fontId="0" fillId="0" borderId="1" xfId="0" applyNumberFormat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" fontId="0" fillId="3" borderId="1" xfId="0" applyNumberForma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4" fontId="0" fillId="5" borderId="1" xfId="0" applyNumberForma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4" fontId="0" fillId="0" borderId="0" xfId="0" applyNumberFormat="1" applyAlignment="1">
      <alignment horizontal="right"/>
    </xf>
    <xf numFmtId="10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1" fillId="3" borderId="1" xfId="0" applyFont="1" applyFill="1" applyBorder="1" applyAlignment="1"/>
    <xf numFmtId="0" fontId="1" fillId="7" borderId="1" xfId="0" applyFont="1" applyFill="1" applyBorder="1"/>
    <xf numFmtId="4" fontId="0" fillId="7" borderId="1" xfId="0" applyNumberFormat="1" applyFill="1" applyBorder="1"/>
    <xf numFmtId="4" fontId="1" fillId="7" borderId="1" xfId="0" applyNumberFormat="1" applyFont="1" applyFill="1" applyBorder="1"/>
    <xf numFmtId="0" fontId="1" fillId="5" borderId="1" xfId="0" applyFont="1" applyFill="1" applyBorder="1"/>
    <xf numFmtId="0" fontId="1" fillId="8" borderId="1" xfId="0" applyFont="1" applyFill="1" applyBorder="1"/>
    <xf numFmtId="4" fontId="0" fillId="8" borderId="1" xfId="0" applyNumberFormat="1" applyFill="1" applyBorder="1"/>
    <xf numFmtId="4" fontId="1" fillId="8" borderId="1" xfId="0" applyNumberFormat="1" applyFont="1" applyFill="1" applyBorder="1"/>
    <xf numFmtId="4" fontId="0" fillId="9" borderId="1" xfId="0" applyNumberFormat="1" applyFill="1" applyBorder="1"/>
    <xf numFmtId="4" fontId="1" fillId="9" borderId="1" xfId="0" applyNumberFormat="1" applyFont="1" applyFill="1" applyBorder="1"/>
    <xf numFmtId="0" fontId="1" fillId="10" borderId="1" xfId="0" applyFont="1" applyFill="1" applyBorder="1"/>
    <xf numFmtId="4" fontId="0" fillId="10" borderId="1" xfId="0" applyNumberFormat="1" applyFill="1" applyBorder="1"/>
    <xf numFmtId="4" fontId="1" fillId="10" borderId="1" xfId="0" applyNumberFormat="1" applyFont="1" applyFill="1" applyBorder="1"/>
    <xf numFmtId="0" fontId="1" fillId="11" borderId="1" xfId="0" applyFont="1" applyFill="1" applyBorder="1"/>
    <xf numFmtId="4" fontId="0" fillId="11" borderId="1" xfId="0" applyNumberFormat="1" applyFill="1" applyBorder="1"/>
    <xf numFmtId="4" fontId="1" fillId="11" borderId="1" xfId="0" applyNumberFormat="1" applyFont="1" applyFill="1" applyBorder="1"/>
    <xf numFmtId="4" fontId="0" fillId="3" borderId="1" xfId="0" applyNumberFormat="1" applyFont="1" applyFill="1" applyBorder="1"/>
    <xf numFmtId="4" fontId="0" fillId="7" borderId="1" xfId="0" applyNumberFormat="1" applyFont="1" applyFill="1" applyBorder="1"/>
    <xf numFmtId="4" fontId="0" fillId="5" borderId="1" xfId="0" applyNumberFormat="1" applyFont="1" applyFill="1" applyBorder="1"/>
    <xf numFmtId="4" fontId="0" fillId="11" borderId="1" xfId="0" applyNumberFormat="1" applyFont="1" applyFill="1" applyBorder="1"/>
    <xf numFmtId="0" fontId="0" fillId="8" borderId="1" xfId="0" applyFill="1" applyBorder="1"/>
    <xf numFmtId="0" fontId="0" fillId="0" borderId="1" xfId="0" applyFont="1" applyBorder="1" applyAlignment="1">
      <alignment wrapText="1"/>
    </xf>
    <xf numFmtId="4" fontId="0" fillId="10" borderId="1" xfId="0" applyNumberFormat="1" applyFont="1" applyFill="1" applyBorder="1"/>
    <xf numFmtId="4" fontId="0" fillId="8" borderId="1" xfId="0" applyNumberFormat="1" applyFont="1" applyFill="1" applyBorder="1"/>
    <xf numFmtId="0" fontId="0" fillId="8" borderId="1" xfId="0" applyFont="1" applyFill="1" applyBorder="1"/>
    <xf numFmtId="4" fontId="0" fillId="9" borderId="1" xfId="0" applyNumberFormat="1" applyFont="1" applyFill="1" applyBorder="1"/>
    <xf numFmtId="0" fontId="2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9"/>
  <sheetViews>
    <sheetView view="pageBreakPreview" topLeftCell="A28" zoomScale="80" zoomScaleNormal="80" zoomScaleSheetLayoutView="80" workbookViewId="0">
      <selection activeCell="C33" sqref="C33"/>
    </sheetView>
  </sheetViews>
  <sheetFormatPr defaultRowHeight="15" x14ac:dyDescent="0.25"/>
  <cols>
    <col min="2" max="2" width="69.42578125" bestFit="1" customWidth="1"/>
    <col min="3" max="3" width="14.85546875" style="31" bestFit="1" customWidth="1"/>
    <col min="4" max="4" width="20.140625" style="31" bestFit="1" customWidth="1"/>
    <col min="5" max="6" width="14.85546875" style="31" bestFit="1" customWidth="1"/>
    <col min="7" max="7" width="13.7109375" style="31" bestFit="1" customWidth="1"/>
    <col min="8" max="8" width="14.85546875" style="31" bestFit="1" customWidth="1"/>
    <col min="9" max="10" width="13.7109375" style="31" bestFit="1" customWidth="1"/>
    <col min="11" max="14" width="14.85546875" style="31" bestFit="1" customWidth="1"/>
    <col min="15" max="15" width="14.85546875" bestFit="1" customWidth="1"/>
    <col min="17" max="17" width="14.85546875" customWidth="1"/>
  </cols>
  <sheetData>
    <row r="2" spans="1:18" s="6" customFormat="1" ht="20.25" customHeight="1" x14ac:dyDescent="0.25">
      <c r="A2" s="86" t="s">
        <v>39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spans="1:18" ht="18.75" customHeight="1" x14ac:dyDescent="0.25">
      <c r="A3" s="86" t="s">
        <v>40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spans="1:18" s="6" customFormat="1" ht="36" customHeight="1" x14ac:dyDescent="0.25">
      <c r="A4" s="87" t="s">
        <v>41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</row>
    <row r="5" spans="1:18" s="6" customFormat="1" ht="36" customHeight="1" x14ac:dyDescent="0.25">
      <c r="A5" s="8"/>
      <c r="B5" s="8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8"/>
      <c r="P5" s="8"/>
      <c r="Q5" s="8"/>
    </row>
    <row r="6" spans="1:18" s="16" customFormat="1" x14ac:dyDescent="0.25">
      <c r="A6" s="24"/>
      <c r="B6" s="24"/>
      <c r="C6" s="24" t="s">
        <v>72</v>
      </c>
      <c r="D6" s="37" t="s">
        <v>74</v>
      </c>
      <c r="E6" s="37" t="s">
        <v>75</v>
      </c>
      <c r="F6" s="37" t="s">
        <v>76</v>
      </c>
      <c r="G6" s="37" t="s">
        <v>77</v>
      </c>
      <c r="H6" s="37" t="s">
        <v>78</v>
      </c>
      <c r="I6" s="88" t="s">
        <v>47</v>
      </c>
      <c r="J6" s="88"/>
      <c r="K6" s="89" t="s">
        <v>48</v>
      </c>
      <c r="L6" s="90"/>
      <c r="M6" s="91" t="s">
        <v>58</v>
      </c>
      <c r="N6" s="91"/>
      <c r="O6" s="24" t="s">
        <v>78</v>
      </c>
    </row>
    <row r="7" spans="1:18" s="16" customFormat="1" x14ac:dyDescent="0.25">
      <c r="A7" s="24"/>
      <c r="B7" s="24"/>
      <c r="C7" s="24"/>
      <c r="D7" s="37"/>
      <c r="E7" s="37"/>
      <c r="F7" s="37"/>
      <c r="G7" s="37"/>
      <c r="H7" s="37"/>
      <c r="I7" s="38" t="s">
        <v>91</v>
      </c>
      <c r="J7" s="38" t="s">
        <v>92</v>
      </c>
      <c r="K7" s="39" t="s">
        <v>91</v>
      </c>
      <c r="L7" s="39" t="s">
        <v>92</v>
      </c>
      <c r="M7" s="40" t="s">
        <v>91</v>
      </c>
      <c r="N7" s="40" t="s">
        <v>92</v>
      </c>
      <c r="O7" s="24"/>
    </row>
    <row r="8" spans="1:18" ht="30" x14ac:dyDescent="0.25">
      <c r="A8" s="10"/>
      <c r="B8" s="11" t="s">
        <v>46</v>
      </c>
      <c r="C8" s="26"/>
      <c r="D8" s="26">
        <f>C8*1.0248</f>
        <v>0</v>
      </c>
      <c r="E8" s="26">
        <f>D8*1.0297</f>
        <v>0</v>
      </c>
      <c r="F8" s="26">
        <f>E8*0.9589</f>
        <v>0</v>
      </c>
      <c r="G8" s="26">
        <f>F8*0.18</f>
        <v>0</v>
      </c>
      <c r="H8" s="26">
        <f>G8+F8</f>
        <v>0</v>
      </c>
      <c r="I8" s="32">
        <v>2025880.58</v>
      </c>
      <c r="J8" s="32">
        <f>I8*1.18</f>
        <v>2390539.0844000001</v>
      </c>
      <c r="K8" s="33"/>
      <c r="L8" s="33"/>
      <c r="M8" s="34"/>
      <c r="N8" s="34"/>
      <c r="O8" s="12">
        <f>J8+L8+N8</f>
        <v>2390539.0844000001</v>
      </c>
      <c r="P8" s="3"/>
      <c r="Q8" s="3">
        <v>2025880.58</v>
      </c>
      <c r="R8" s="3"/>
    </row>
    <row r="9" spans="1:18" x14ac:dyDescent="0.25">
      <c r="A9" s="10"/>
      <c r="B9" s="11" t="s">
        <v>59</v>
      </c>
      <c r="C9" s="26">
        <v>29272518.539999999</v>
      </c>
      <c r="D9" s="26">
        <f t="shared" ref="D9:D54" si="0">C9*1.0248</f>
        <v>29998476.999791998</v>
      </c>
      <c r="E9" s="26">
        <f t="shared" ref="E9:E54" si="1">D9*1.0297</f>
        <v>30889431.766685821</v>
      </c>
      <c r="F9" s="26">
        <f t="shared" ref="F9:F54" si="2">E9*0.9589</f>
        <v>29619876.121075034</v>
      </c>
      <c r="G9" s="26">
        <f t="shared" ref="G9:G54" si="3">F9*0.18</f>
        <v>5331577.7017935058</v>
      </c>
      <c r="H9" s="26">
        <f t="shared" ref="H9:H54" si="4">G9+F9</f>
        <v>34951453.822868541</v>
      </c>
      <c r="I9" s="32"/>
      <c r="J9" s="32"/>
      <c r="K9" s="33">
        <v>13493275.800000001</v>
      </c>
      <c r="L9" s="33">
        <f>K9*1.18</f>
        <v>15922065.444</v>
      </c>
      <c r="M9" s="34">
        <v>9410702.6300000008</v>
      </c>
      <c r="N9" s="34">
        <f>M9*1.18</f>
        <v>11104629.103400001</v>
      </c>
      <c r="O9" s="12">
        <f t="shared" ref="O9:O55" si="5">J9+L9+N9</f>
        <v>27026694.547400001</v>
      </c>
      <c r="P9" s="3"/>
      <c r="Q9" s="3">
        <v>13493275.800000001</v>
      </c>
      <c r="R9" s="3"/>
    </row>
    <row r="10" spans="1:18" x14ac:dyDescent="0.25">
      <c r="A10" s="10"/>
      <c r="B10" s="10" t="s">
        <v>60</v>
      </c>
      <c r="C10" s="27">
        <v>13162987.52</v>
      </c>
      <c r="D10" s="26">
        <f t="shared" si="0"/>
        <v>13489429.610495999</v>
      </c>
      <c r="E10" s="26">
        <f t="shared" si="1"/>
        <v>13890065.669927731</v>
      </c>
      <c r="F10" s="26">
        <f t="shared" si="2"/>
        <v>13319183.970893702</v>
      </c>
      <c r="G10" s="26">
        <f t="shared" si="3"/>
        <v>2397453.1147608664</v>
      </c>
      <c r="H10" s="26">
        <f t="shared" si="4"/>
        <v>15716637.085654568</v>
      </c>
      <c r="I10" s="32">
        <v>995591.46</v>
      </c>
      <c r="J10" s="32">
        <f t="shared" ref="J10:J54" si="6">I10*1.18</f>
        <v>1174797.9227999998</v>
      </c>
      <c r="K10" s="33">
        <v>2271825.23</v>
      </c>
      <c r="L10" s="33">
        <f t="shared" ref="L10:L49" si="7">K10*1.18</f>
        <v>2680753.7714</v>
      </c>
      <c r="M10" s="34">
        <v>3832442.05</v>
      </c>
      <c r="N10" s="34">
        <f>M10*1.18</f>
        <v>4522281.6189999999</v>
      </c>
      <c r="O10" s="12">
        <f t="shared" si="5"/>
        <v>8377833.3131999997</v>
      </c>
      <c r="P10" s="3"/>
      <c r="Q10" s="3">
        <v>9410702.6300000008</v>
      </c>
      <c r="R10" s="3"/>
    </row>
    <row r="11" spans="1:18" x14ac:dyDescent="0.25">
      <c r="A11" s="10"/>
      <c r="B11" s="10" t="s">
        <v>43</v>
      </c>
      <c r="C11" s="27"/>
      <c r="D11" s="26">
        <f t="shared" si="0"/>
        <v>0</v>
      </c>
      <c r="E11" s="26">
        <f t="shared" si="1"/>
        <v>0</v>
      </c>
      <c r="F11" s="26">
        <f t="shared" si="2"/>
        <v>0</v>
      </c>
      <c r="G11" s="26">
        <f t="shared" si="3"/>
        <v>0</v>
      </c>
      <c r="H11" s="26">
        <f t="shared" si="4"/>
        <v>0</v>
      </c>
      <c r="I11" s="32">
        <v>1469703.03</v>
      </c>
      <c r="J11" s="32">
        <f t="shared" si="6"/>
        <v>1734249.5754</v>
      </c>
      <c r="K11" s="33">
        <v>478729.13</v>
      </c>
      <c r="L11" s="33">
        <f t="shared" si="7"/>
        <v>564900.37339999992</v>
      </c>
      <c r="M11" s="34"/>
      <c r="N11" s="34"/>
      <c r="O11" s="12">
        <f t="shared" si="5"/>
        <v>2299149.9487999999</v>
      </c>
      <c r="P11" s="3"/>
      <c r="Q11" s="3">
        <v>995591.46</v>
      </c>
      <c r="R11" s="3"/>
    </row>
    <row r="12" spans="1:18" s="21" customFormat="1" x14ac:dyDescent="0.25">
      <c r="A12" s="19"/>
      <c r="B12" s="19" t="s">
        <v>44</v>
      </c>
      <c r="C12" s="28"/>
      <c r="D12" s="26">
        <f t="shared" si="0"/>
        <v>0</v>
      </c>
      <c r="E12" s="26">
        <f t="shared" si="1"/>
        <v>0</v>
      </c>
      <c r="F12" s="26">
        <f t="shared" si="2"/>
        <v>0</v>
      </c>
      <c r="G12" s="26">
        <f t="shared" si="3"/>
        <v>0</v>
      </c>
      <c r="H12" s="26">
        <f t="shared" si="4"/>
        <v>0</v>
      </c>
      <c r="I12" s="28"/>
      <c r="J12" s="28"/>
      <c r="K12" s="28"/>
      <c r="L12" s="28"/>
      <c r="M12" s="28"/>
      <c r="N12" s="28"/>
      <c r="O12" s="12">
        <f t="shared" si="5"/>
        <v>0</v>
      </c>
      <c r="P12" s="20"/>
      <c r="Q12" s="20">
        <v>2271825.23</v>
      </c>
      <c r="R12" s="20"/>
    </row>
    <row r="13" spans="1:18" x14ac:dyDescent="0.25">
      <c r="A13" s="10"/>
      <c r="B13" s="10" t="s">
        <v>61</v>
      </c>
      <c r="C13" s="27"/>
      <c r="D13" s="26">
        <f t="shared" si="0"/>
        <v>0</v>
      </c>
      <c r="E13" s="26">
        <f t="shared" si="1"/>
        <v>0</v>
      </c>
      <c r="F13" s="26">
        <f t="shared" si="2"/>
        <v>0</v>
      </c>
      <c r="G13" s="26">
        <f t="shared" si="3"/>
        <v>0</v>
      </c>
      <c r="H13" s="26">
        <f t="shared" si="4"/>
        <v>0</v>
      </c>
      <c r="I13" s="32">
        <v>100881.84</v>
      </c>
      <c r="J13" s="32">
        <f t="shared" si="6"/>
        <v>119040.57119999999</v>
      </c>
      <c r="K13" s="33">
        <v>600060.53</v>
      </c>
      <c r="L13" s="33">
        <f t="shared" si="7"/>
        <v>708071.42539999995</v>
      </c>
      <c r="M13" s="34"/>
      <c r="N13" s="34"/>
      <c r="O13" s="12">
        <f t="shared" si="5"/>
        <v>827111.99659999995</v>
      </c>
      <c r="P13" s="3"/>
      <c r="Q13" s="3">
        <v>3832442.05</v>
      </c>
      <c r="R13" s="3"/>
    </row>
    <row r="14" spans="1:18" x14ac:dyDescent="0.25">
      <c r="A14" s="10"/>
      <c r="B14" s="10" t="s">
        <v>62</v>
      </c>
      <c r="C14" s="27"/>
      <c r="D14" s="26">
        <f t="shared" si="0"/>
        <v>0</v>
      </c>
      <c r="E14" s="26">
        <f t="shared" si="1"/>
        <v>0</v>
      </c>
      <c r="F14" s="26">
        <f t="shared" si="2"/>
        <v>0</v>
      </c>
      <c r="G14" s="26">
        <f t="shared" si="3"/>
        <v>0</v>
      </c>
      <c r="H14" s="26">
        <f t="shared" si="4"/>
        <v>0</v>
      </c>
      <c r="I14" s="32">
        <v>44248.11</v>
      </c>
      <c r="J14" s="32">
        <f t="shared" si="6"/>
        <v>52212.769799999995</v>
      </c>
      <c r="K14" s="33">
        <v>1196656.3600000001</v>
      </c>
      <c r="L14" s="33">
        <f t="shared" si="7"/>
        <v>1412054.5048</v>
      </c>
      <c r="M14" s="34"/>
      <c r="N14" s="34"/>
      <c r="O14" s="12">
        <f t="shared" si="5"/>
        <v>1464267.2745999999</v>
      </c>
      <c r="P14" s="3"/>
      <c r="Q14" s="3">
        <v>1469703.03</v>
      </c>
      <c r="R14" s="3"/>
    </row>
    <row r="15" spans="1:18" x14ac:dyDescent="0.25">
      <c r="A15" s="10"/>
      <c r="B15" s="10" t="s">
        <v>64</v>
      </c>
      <c r="C15" s="27">
        <v>2590567.65</v>
      </c>
      <c r="D15" s="26">
        <f t="shared" si="0"/>
        <v>2654813.7277199998</v>
      </c>
      <c r="E15" s="26">
        <f t="shared" si="1"/>
        <v>2733661.6954332842</v>
      </c>
      <c r="F15" s="26">
        <f t="shared" si="2"/>
        <v>2621308.1997509762</v>
      </c>
      <c r="G15" s="26">
        <f t="shared" si="3"/>
        <v>471835.4759551757</v>
      </c>
      <c r="H15" s="26">
        <f t="shared" si="4"/>
        <v>3093143.6757061519</v>
      </c>
      <c r="I15" s="32"/>
      <c r="J15" s="32"/>
      <c r="K15" s="33">
        <v>804673.34</v>
      </c>
      <c r="L15" s="33">
        <f t="shared" si="7"/>
        <v>949514.54119999986</v>
      </c>
      <c r="M15" s="34">
        <v>1702977.86</v>
      </c>
      <c r="N15" s="34">
        <f>M15*1.18</f>
        <v>2009513.8748000001</v>
      </c>
      <c r="O15" s="12">
        <f t="shared" si="5"/>
        <v>2959028.4160000002</v>
      </c>
      <c r="P15" s="3"/>
      <c r="Q15" s="3">
        <v>478729.13</v>
      </c>
      <c r="R15" s="3"/>
    </row>
    <row r="16" spans="1:18" s="21" customFormat="1" x14ac:dyDescent="0.25">
      <c r="A16" s="19"/>
      <c r="B16" s="19" t="s">
        <v>45</v>
      </c>
      <c r="C16" s="28"/>
      <c r="D16" s="26">
        <f t="shared" si="0"/>
        <v>0</v>
      </c>
      <c r="E16" s="26">
        <f t="shared" si="1"/>
        <v>0</v>
      </c>
      <c r="F16" s="26">
        <f t="shared" si="2"/>
        <v>0</v>
      </c>
      <c r="G16" s="26">
        <f t="shared" si="3"/>
        <v>0</v>
      </c>
      <c r="H16" s="26">
        <f t="shared" si="4"/>
        <v>0</v>
      </c>
      <c r="I16" s="28"/>
      <c r="J16" s="28"/>
      <c r="K16" s="28"/>
      <c r="L16" s="28"/>
      <c r="M16" s="28"/>
      <c r="N16" s="28"/>
      <c r="O16" s="12">
        <f t="shared" si="5"/>
        <v>0</v>
      </c>
      <c r="P16" s="20"/>
      <c r="Q16" s="20">
        <v>100881.84</v>
      </c>
      <c r="R16" s="20"/>
    </row>
    <row r="17" spans="1:18" x14ac:dyDescent="0.25">
      <c r="A17" s="10"/>
      <c r="B17" s="11" t="s">
        <v>45</v>
      </c>
      <c r="C17" s="26"/>
      <c r="D17" s="26">
        <f t="shared" si="0"/>
        <v>0</v>
      </c>
      <c r="E17" s="26">
        <f t="shared" si="1"/>
        <v>0</v>
      </c>
      <c r="F17" s="26">
        <f t="shared" si="2"/>
        <v>0</v>
      </c>
      <c r="G17" s="26">
        <f t="shared" si="3"/>
        <v>0</v>
      </c>
      <c r="H17" s="26">
        <f t="shared" si="4"/>
        <v>0</v>
      </c>
      <c r="I17" s="32">
        <v>57964.46</v>
      </c>
      <c r="J17" s="32">
        <f t="shared" si="6"/>
        <v>68398.0628</v>
      </c>
      <c r="K17" s="33"/>
      <c r="L17" s="33"/>
      <c r="M17" s="34"/>
      <c r="N17" s="34"/>
      <c r="O17" s="12">
        <f t="shared" si="5"/>
        <v>68398.0628</v>
      </c>
      <c r="P17" s="3"/>
      <c r="Q17" s="3">
        <v>44248.11</v>
      </c>
      <c r="R17" s="3"/>
    </row>
    <row r="18" spans="1:18" x14ac:dyDescent="0.25">
      <c r="A18" s="10"/>
      <c r="B18" s="11" t="s">
        <v>62</v>
      </c>
      <c r="C18" s="26"/>
      <c r="D18" s="26">
        <f t="shared" si="0"/>
        <v>0</v>
      </c>
      <c r="E18" s="26">
        <f t="shared" si="1"/>
        <v>0</v>
      </c>
      <c r="F18" s="26">
        <f t="shared" si="2"/>
        <v>0</v>
      </c>
      <c r="G18" s="26">
        <f t="shared" si="3"/>
        <v>0</v>
      </c>
      <c r="H18" s="26">
        <f t="shared" si="4"/>
        <v>0</v>
      </c>
      <c r="I18" s="32">
        <v>17699.25</v>
      </c>
      <c r="J18" s="32">
        <f t="shared" si="6"/>
        <v>20885.114999999998</v>
      </c>
      <c r="K18" s="33">
        <v>760591.72</v>
      </c>
      <c r="L18" s="33">
        <f t="shared" si="7"/>
        <v>897498.22959999996</v>
      </c>
      <c r="M18" s="34"/>
      <c r="N18" s="34"/>
      <c r="O18" s="12">
        <f t="shared" si="5"/>
        <v>918383.34459999995</v>
      </c>
      <c r="P18" s="3"/>
      <c r="Q18" s="3">
        <v>1196656.3600000001</v>
      </c>
      <c r="R18" s="3"/>
    </row>
    <row r="19" spans="1:18" x14ac:dyDescent="0.25">
      <c r="A19" s="10"/>
      <c r="B19" s="11" t="s">
        <v>61</v>
      </c>
      <c r="C19" s="26"/>
      <c r="D19" s="26">
        <f t="shared" si="0"/>
        <v>0</v>
      </c>
      <c r="E19" s="26">
        <f t="shared" si="1"/>
        <v>0</v>
      </c>
      <c r="F19" s="26">
        <f t="shared" si="2"/>
        <v>0</v>
      </c>
      <c r="G19" s="26">
        <f t="shared" si="3"/>
        <v>0</v>
      </c>
      <c r="H19" s="26">
        <f t="shared" si="4"/>
        <v>0</v>
      </c>
      <c r="I19" s="32"/>
      <c r="J19" s="32"/>
      <c r="K19" s="33">
        <v>307409.91999999998</v>
      </c>
      <c r="L19" s="33">
        <f t="shared" si="7"/>
        <v>362743.70559999999</v>
      </c>
      <c r="M19" s="34"/>
      <c r="N19" s="34"/>
      <c r="O19" s="12">
        <f t="shared" si="5"/>
        <v>362743.70559999999</v>
      </c>
      <c r="P19" s="3"/>
      <c r="Q19" s="3">
        <v>804673.34</v>
      </c>
      <c r="R19" s="3"/>
    </row>
    <row r="20" spans="1:18" x14ac:dyDescent="0.25">
      <c r="A20" s="10"/>
      <c r="B20" s="11" t="s">
        <v>71</v>
      </c>
      <c r="C20" s="26">
        <v>1487744.97</v>
      </c>
      <c r="D20" s="26">
        <f t="shared" si="0"/>
        <v>1524641.0452559998</v>
      </c>
      <c r="E20" s="26">
        <f t="shared" si="1"/>
        <v>1569922.8843001032</v>
      </c>
      <c r="F20" s="26">
        <f t="shared" si="2"/>
        <v>1505399.0537553688</v>
      </c>
      <c r="G20" s="26">
        <f t="shared" si="3"/>
        <v>270971.82967596635</v>
      </c>
      <c r="H20" s="26">
        <f t="shared" si="4"/>
        <v>1776370.8834313352</v>
      </c>
      <c r="I20" s="32"/>
      <c r="J20" s="32"/>
      <c r="K20" s="33">
        <v>595166.81999999995</v>
      </c>
      <c r="L20" s="33">
        <f t="shared" si="7"/>
        <v>702296.84759999986</v>
      </c>
      <c r="M20" s="34">
        <v>910232.21</v>
      </c>
      <c r="N20" s="34">
        <f>M20*1.18</f>
        <v>1074074.0077999998</v>
      </c>
      <c r="O20" s="12">
        <f t="shared" si="5"/>
        <v>1776370.8553999998</v>
      </c>
      <c r="P20" s="3"/>
      <c r="Q20" s="3">
        <v>600060.53</v>
      </c>
      <c r="R20" s="3"/>
    </row>
    <row r="21" spans="1:18" s="21" customFormat="1" x14ac:dyDescent="0.25">
      <c r="A21" s="19"/>
      <c r="B21" s="23" t="s">
        <v>49</v>
      </c>
      <c r="C21" s="29"/>
      <c r="D21" s="26">
        <f t="shared" si="0"/>
        <v>0</v>
      </c>
      <c r="E21" s="26">
        <f t="shared" si="1"/>
        <v>0</v>
      </c>
      <c r="F21" s="26">
        <f t="shared" si="2"/>
        <v>0</v>
      </c>
      <c r="G21" s="26">
        <f t="shared" si="3"/>
        <v>0</v>
      </c>
      <c r="H21" s="26">
        <f t="shared" si="4"/>
        <v>0</v>
      </c>
      <c r="I21" s="28"/>
      <c r="J21" s="28"/>
      <c r="K21" s="28"/>
      <c r="L21" s="28"/>
      <c r="M21" s="28"/>
      <c r="N21" s="28"/>
      <c r="O21" s="12">
        <f t="shared" si="5"/>
        <v>0</v>
      </c>
      <c r="P21" s="20"/>
      <c r="Q21" s="20">
        <v>1702977.86</v>
      </c>
      <c r="R21" s="20"/>
    </row>
    <row r="22" spans="1:18" x14ac:dyDescent="0.25">
      <c r="A22" s="10"/>
      <c r="B22" s="11" t="s">
        <v>65</v>
      </c>
      <c r="C22" s="26"/>
      <c r="D22" s="26">
        <f t="shared" si="0"/>
        <v>0</v>
      </c>
      <c r="E22" s="26">
        <f t="shared" si="1"/>
        <v>0</v>
      </c>
      <c r="F22" s="26">
        <f t="shared" si="2"/>
        <v>0</v>
      </c>
      <c r="G22" s="26">
        <f t="shared" si="3"/>
        <v>0</v>
      </c>
      <c r="H22" s="26">
        <f t="shared" si="4"/>
        <v>0</v>
      </c>
      <c r="I22" s="32"/>
      <c r="J22" s="32"/>
      <c r="K22" s="33">
        <v>157913.51</v>
      </c>
      <c r="L22" s="33">
        <f t="shared" si="7"/>
        <v>186337.9418</v>
      </c>
      <c r="M22" s="34"/>
      <c r="N22" s="34"/>
      <c r="O22" s="12">
        <f t="shared" si="5"/>
        <v>186337.9418</v>
      </c>
      <c r="P22" s="3"/>
      <c r="Q22" s="3">
        <v>57964.46</v>
      </c>
      <c r="R22" s="3"/>
    </row>
    <row r="23" spans="1:18" x14ac:dyDescent="0.25">
      <c r="A23" s="10"/>
      <c r="B23" s="11" t="s">
        <v>66</v>
      </c>
      <c r="C23" s="26"/>
      <c r="D23" s="26">
        <f t="shared" si="0"/>
        <v>0</v>
      </c>
      <c r="E23" s="26">
        <f t="shared" si="1"/>
        <v>0</v>
      </c>
      <c r="F23" s="26">
        <f t="shared" si="2"/>
        <v>0</v>
      </c>
      <c r="G23" s="26">
        <f t="shared" si="3"/>
        <v>0</v>
      </c>
      <c r="H23" s="26">
        <f t="shared" si="4"/>
        <v>0</v>
      </c>
      <c r="I23" s="32"/>
      <c r="J23" s="32"/>
      <c r="K23" s="33">
        <v>43028.45</v>
      </c>
      <c r="L23" s="33">
        <f t="shared" si="7"/>
        <v>50773.570999999996</v>
      </c>
      <c r="M23" s="34"/>
      <c r="N23" s="34"/>
      <c r="O23" s="12">
        <f t="shared" si="5"/>
        <v>50773.570999999996</v>
      </c>
      <c r="P23" s="3"/>
      <c r="Q23" s="3">
        <v>17699.25</v>
      </c>
      <c r="R23" s="3"/>
    </row>
    <row r="24" spans="1:18" ht="30" x14ac:dyDescent="0.25">
      <c r="A24" s="10"/>
      <c r="B24" s="11" t="s">
        <v>73</v>
      </c>
      <c r="C24" s="26">
        <v>125052.71</v>
      </c>
      <c r="D24" s="26">
        <f t="shared" si="0"/>
        <v>128154.017208</v>
      </c>
      <c r="E24" s="26">
        <f t="shared" si="1"/>
        <v>131960.19151907761</v>
      </c>
      <c r="F24" s="26">
        <f t="shared" si="2"/>
        <v>126536.62764764352</v>
      </c>
      <c r="G24" s="26">
        <f t="shared" si="3"/>
        <v>22776.592976575834</v>
      </c>
      <c r="H24" s="26">
        <f t="shared" si="4"/>
        <v>149313.22062421934</v>
      </c>
      <c r="I24" s="32"/>
      <c r="J24" s="32"/>
      <c r="K24" s="33"/>
      <c r="L24" s="33"/>
      <c r="M24" s="34">
        <v>125442.11</v>
      </c>
      <c r="N24" s="34">
        <f>M24*1.18</f>
        <v>148021.68979999999</v>
      </c>
      <c r="O24" s="12">
        <f t="shared" si="5"/>
        <v>148021.68979999999</v>
      </c>
      <c r="P24" s="3"/>
      <c r="Q24" s="3">
        <v>760591.72</v>
      </c>
      <c r="R24" s="3"/>
    </row>
    <row r="25" spans="1:18" s="21" customFormat="1" ht="30" x14ac:dyDescent="0.25">
      <c r="A25" s="19"/>
      <c r="B25" s="23" t="s">
        <v>50</v>
      </c>
      <c r="C25" s="29"/>
      <c r="D25" s="26">
        <f t="shared" si="0"/>
        <v>0</v>
      </c>
      <c r="E25" s="26">
        <f t="shared" si="1"/>
        <v>0</v>
      </c>
      <c r="F25" s="26">
        <f t="shared" si="2"/>
        <v>0</v>
      </c>
      <c r="G25" s="26">
        <f t="shared" si="3"/>
        <v>0</v>
      </c>
      <c r="H25" s="26">
        <f t="shared" si="4"/>
        <v>0</v>
      </c>
      <c r="I25" s="28"/>
      <c r="J25" s="28"/>
      <c r="K25" s="28"/>
      <c r="L25" s="28"/>
      <c r="M25" s="28"/>
      <c r="N25" s="28"/>
      <c r="O25" s="12">
        <f t="shared" si="5"/>
        <v>0</v>
      </c>
      <c r="P25" s="20"/>
      <c r="Q25" s="20">
        <v>307409.91999999998</v>
      </c>
      <c r="R25" s="20"/>
    </row>
    <row r="26" spans="1:18" x14ac:dyDescent="0.25">
      <c r="A26" s="10"/>
      <c r="B26" s="11" t="s">
        <v>65</v>
      </c>
      <c r="C26" s="26"/>
      <c r="D26" s="26">
        <f t="shared" si="0"/>
        <v>0</v>
      </c>
      <c r="E26" s="26">
        <f t="shared" si="1"/>
        <v>0</v>
      </c>
      <c r="F26" s="26">
        <f t="shared" si="2"/>
        <v>0</v>
      </c>
      <c r="G26" s="26">
        <f t="shared" si="3"/>
        <v>0</v>
      </c>
      <c r="H26" s="26">
        <f t="shared" si="4"/>
        <v>0</v>
      </c>
      <c r="I26" s="32"/>
      <c r="J26" s="32"/>
      <c r="K26" s="33">
        <v>96299.6</v>
      </c>
      <c r="L26" s="33">
        <f t="shared" si="7"/>
        <v>113633.52800000001</v>
      </c>
      <c r="M26" s="34"/>
      <c r="N26" s="34"/>
      <c r="O26" s="12">
        <f t="shared" si="5"/>
        <v>113633.52800000001</v>
      </c>
      <c r="P26" s="3"/>
      <c r="Q26" s="3">
        <v>595166.81999999995</v>
      </c>
      <c r="R26" s="3"/>
    </row>
    <row r="27" spans="1:18" x14ac:dyDescent="0.25">
      <c r="A27" s="10"/>
      <c r="B27" s="11" t="s">
        <v>67</v>
      </c>
      <c r="C27" s="26"/>
      <c r="D27" s="26">
        <f t="shared" si="0"/>
        <v>0</v>
      </c>
      <c r="E27" s="26">
        <f t="shared" si="1"/>
        <v>0</v>
      </c>
      <c r="F27" s="26">
        <f t="shared" si="2"/>
        <v>0</v>
      </c>
      <c r="G27" s="26">
        <f t="shared" si="3"/>
        <v>0</v>
      </c>
      <c r="H27" s="26">
        <f t="shared" si="4"/>
        <v>0</v>
      </c>
      <c r="I27" s="32"/>
      <c r="J27" s="32"/>
      <c r="K27" s="33">
        <v>42123.14</v>
      </c>
      <c r="L27" s="33">
        <f t="shared" si="7"/>
        <v>49705.305199999995</v>
      </c>
      <c r="M27" s="34"/>
      <c r="N27" s="34"/>
      <c r="O27" s="12">
        <f t="shared" si="5"/>
        <v>49705.305199999995</v>
      </c>
      <c r="P27" s="3"/>
      <c r="Q27" s="3">
        <v>910232.21</v>
      </c>
      <c r="R27" s="3"/>
    </row>
    <row r="28" spans="1:18" x14ac:dyDescent="0.25">
      <c r="A28" s="10"/>
      <c r="B28" s="11" t="s">
        <v>80</v>
      </c>
      <c r="C28" s="26">
        <v>4408976.42</v>
      </c>
      <c r="D28" s="26">
        <f t="shared" si="0"/>
        <v>4518319.0352159999</v>
      </c>
      <c r="E28" s="26">
        <f t="shared" si="1"/>
        <v>4652513.1105619157</v>
      </c>
      <c r="F28" s="26">
        <f t="shared" si="2"/>
        <v>4461294.8217178211</v>
      </c>
      <c r="G28" s="26">
        <f t="shared" si="3"/>
        <v>803033.06790920778</v>
      </c>
      <c r="H28" s="26">
        <f t="shared" si="4"/>
        <v>5264327.8896270292</v>
      </c>
      <c r="I28" s="32"/>
      <c r="J28" s="32"/>
      <c r="K28" s="33"/>
      <c r="L28" s="33"/>
      <c r="M28" s="34">
        <v>870015.66</v>
      </c>
      <c r="N28" s="34">
        <f>M28*1.18</f>
        <v>1026618.4788</v>
      </c>
      <c r="O28" s="12">
        <f t="shared" si="5"/>
        <v>1026618.4788</v>
      </c>
      <c r="P28" s="3"/>
      <c r="Q28" s="3">
        <v>157913.51</v>
      </c>
      <c r="R28" s="3"/>
    </row>
    <row r="29" spans="1:18" s="21" customFormat="1" x14ac:dyDescent="0.25">
      <c r="A29" s="19"/>
      <c r="B29" s="23" t="s">
        <v>51</v>
      </c>
      <c r="C29" s="29"/>
      <c r="D29" s="26">
        <f t="shared" si="0"/>
        <v>0</v>
      </c>
      <c r="E29" s="26">
        <f t="shared" si="1"/>
        <v>0</v>
      </c>
      <c r="F29" s="26">
        <f t="shared" si="2"/>
        <v>0</v>
      </c>
      <c r="G29" s="26">
        <f t="shared" si="3"/>
        <v>0</v>
      </c>
      <c r="H29" s="26">
        <f t="shared" si="4"/>
        <v>0</v>
      </c>
      <c r="I29" s="28"/>
      <c r="J29" s="28"/>
      <c r="K29" s="28"/>
      <c r="L29" s="28"/>
      <c r="M29" s="28"/>
      <c r="N29" s="28"/>
      <c r="O29" s="12">
        <f t="shared" si="5"/>
        <v>0</v>
      </c>
      <c r="P29" s="20"/>
      <c r="Q29" s="20">
        <v>43028.45</v>
      </c>
      <c r="R29" s="20"/>
    </row>
    <row r="30" spans="1:18" x14ac:dyDescent="0.25">
      <c r="A30" s="10"/>
      <c r="B30" s="11" t="s">
        <v>68</v>
      </c>
      <c r="C30" s="26"/>
      <c r="D30" s="26">
        <f t="shared" si="0"/>
        <v>0</v>
      </c>
      <c r="E30" s="26">
        <f t="shared" si="1"/>
        <v>0</v>
      </c>
      <c r="F30" s="26">
        <f t="shared" si="2"/>
        <v>0</v>
      </c>
      <c r="G30" s="26">
        <f t="shared" si="3"/>
        <v>0</v>
      </c>
      <c r="H30" s="26">
        <f t="shared" si="4"/>
        <v>0</v>
      </c>
      <c r="I30" s="32"/>
      <c r="J30" s="32"/>
      <c r="K30" s="33">
        <v>276832.15999999997</v>
      </c>
      <c r="L30" s="33">
        <f t="shared" si="7"/>
        <v>326661.94879999995</v>
      </c>
      <c r="M30" s="34"/>
      <c r="N30" s="34"/>
      <c r="O30" s="12">
        <f t="shared" si="5"/>
        <v>326661.94879999995</v>
      </c>
      <c r="P30" s="3"/>
      <c r="Q30" s="3">
        <v>125442.11</v>
      </c>
      <c r="R30" s="3"/>
    </row>
    <row r="31" spans="1:18" x14ac:dyDescent="0.25">
      <c r="A31" s="10"/>
      <c r="B31" s="11" t="s">
        <v>67</v>
      </c>
      <c r="C31" s="26"/>
      <c r="D31" s="26">
        <f t="shared" si="0"/>
        <v>0</v>
      </c>
      <c r="E31" s="26">
        <f t="shared" si="1"/>
        <v>0</v>
      </c>
      <c r="F31" s="26">
        <f t="shared" si="2"/>
        <v>0</v>
      </c>
      <c r="G31" s="26">
        <f t="shared" si="3"/>
        <v>0</v>
      </c>
      <c r="H31" s="26">
        <f t="shared" si="4"/>
        <v>0</v>
      </c>
      <c r="I31" s="32"/>
      <c r="J31" s="32"/>
      <c r="K31" s="33">
        <v>333561.42</v>
      </c>
      <c r="L31" s="33">
        <f t="shared" si="7"/>
        <v>393602.47559999995</v>
      </c>
      <c r="M31" s="34"/>
      <c r="N31" s="34"/>
      <c r="O31" s="12">
        <f t="shared" si="5"/>
        <v>393602.47559999995</v>
      </c>
      <c r="P31" s="3"/>
      <c r="Q31" s="3">
        <v>96299.6</v>
      </c>
      <c r="R31" s="3"/>
    </row>
    <row r="32" spans="1:18" x14ac:dyDescent="0.25">
      <c r="A32" s="10"/>
      <c r="B32" s="11" t="s">
        <v>81</v>
      </c>
      <c r="C32" s="26">
        <v>4493251.7</v>
      </c>
      <c r="D32" s="26">
        <f t="shared" si="0"/>
        <v>4604684.3421599995</v>
      </c>
      <c r="E32" s="26">
        <f t="shared" si="1"/>
        <v>4741443.4671221515</v>
      </c>
      <c r="F32" s="26">
        <f t="shared" si="2"/>
        <v>4546570.1406234307</v>
      </c>
      <c r="G32" s="26">
        <f t="shared" si="3"/>
        <v>818382.62531221751</v>
      </c>
      <c r="H32" s="26">
        <f t="shared" si="4"/>
        <v>5364952.7659356482</v>
      </c>
      <c r="I32" s="32"/>
      <c r="J32" s="32"/>
      <c r="K32" s="33"/>
      <c r="L32" s="33"/>
      <c r="M32" s="34">
        <v>954424.37</v>
      </c>
      <c r="N32" s="34">
        <f>M32*1.18</f>
        <v>1126220.7566</v>
      </c>
      <c r="O32" s="12">
        <f t="shared" si="5"/>
        <v>1126220.7566</v>
      </c>
      <c r="P32" s="3"/>
      <c r="Q32" s="3">
        <v>42123.14</v>
      </c>
      <c r="R32" s="3"/>
    </row>
    <row r="33" spans="1:18" s="21" customFormat="1" x14ac:dyDescent="0.25">
      <c r="A33" s="19"/>
      <c r="B33" s="23" t="s">
        <v>52</v>
      </c>
      <c r="C33" s="29"/>
      <c r="D33" s="26">
        <f t="shared" si="0"/>
        <v>0</v>
      </c>
      <c r="E33" s="26">
        <f t="shared" si="1"/>
        <v>0</v>
      </c>
      <c r="F33" s="26">
        <f t="shared" si="2"/>
        <v>0</v>
      </c>
      <c r="G33" s="26">
        <f t="shared" si="3"/>
        <v>0</v>
      </c>
      <c r="H33" s="26">
        <f t="shared" si="4"/>
        <v>0</v>
      </c>
      <c r="I33" s="28"/>
      <c r="J33" s="28"/>
      <c r="K33" s="28"/>
      <c r="L33" s="28"/>
      <c r="M33" s="28"/>
      <c r="N33" s="28"/>
      <c r="O33" s="12">
        <f t="shared" si="5"/>
        <v>0</v>
      </c>
      <c r="P33" s="20"/>
      <c r="Q33" s="20">
        <v>870015.66</v>
      </c>
      <c r="R33" s="20"/>
    </row>
    <row r="34" spans="1:18" x14ac:dyDescent="0.25">
      <c r="A34" s="10"/>
      <c r="B34" s="11" t="s">
        <v>69</v>
      </c>
      <c r="C34" s="26"/>
      <c r="D34" s="26">
        <f t="shared" si="0"/>
        <v>0</v>
      </c>
      <c r="E34" s="26">
        <f t="shared" si="1"/>
        <v>0</v>
      </c>
      <c r="F34" s="26">
        <f t="shared" si="2"/>
        <v>0</v>
      </c>
      <c r="G34" s="26">
        <f t="shared" si="3"/>
        <v>0</v>
      </c>
      <c r="H34" s="26">
        <f t="shared" si="4"/>
        <v>0</v>
      </c>
      <c r="I34" s="32"/>
      <c r="J34" s="32"/>
      <c r="K34" s="33">
        <v>373499.37</v>
      </c>
      <c r="L34" s="33">
        <f t="shared" si="7"/>
        <v>440729.25659999996</v>
      </c>
      <c r="M34" s="34"/>
      <c r="N34" s="34"/>
      <c r="O34" s="12">
        <f t="shared" si="5"/>
        <v>440729.25659999996</v>
      </c>
      <c r="P34" s="3"/>
      <c r="Q34" s="3">
        <v>276832.15999999997</v>
      </c>
      <c r="R34" s="3"/>
    </row>
    <row r="35" spans="1:18" x14ac:dyDescent="0.25">
      <c r="A35" s="10"/>
      <c r="B35" s="11" t="s">
        <v>70</v>
      </c>
      <c r="C35" s="26"/>
      <c r="D35" s="26">
        <f t="shared" si="0"/>
        <v>0</v>
      </c>
      <c r="E35" s="26">
        <f t="shared" si="1"/>
        <v>0</v>
      </c>
      <c r="F35" s="26">
        <f t="shared" si="2"/>
        <v>0</v>
      </c>
      <c r="G35" s="26">
        <f t="shared" si="3"/>
        <v>0</v>
      </c>
      <c r="H35" s="26">
        <f t="shared" si="4"/>
        <v>0</v>
      </c>
      <c r="I35" s="32"/>
      <c r="J35" s="32"/>
      <c r="K35" s="33">
        <v>331401.52</v>
      </c>
      <c r="L35" s="33">
        <f t="shared" si="7"/>
        <v>391053.79359999998</v>
      </c>
      <c r="M35" s="34"/>
      <c r="N35" s="34"/>
      <c r="O35" s="12">
        <f t="shared" si="5"/>
        <v>391053.79359999998</v>
      </c>
      <c r="P35" s="3"/>
      <c r="Q35" s="3">
        <v>333561.42</v>
      </c>
      <c r="R35" s="3"/>
    </row>
    <row r="36" spans="1:18" ht="30" x14ac:dyDescent="0.25">
      <c r="A36" s="10"/>
      <c r="B36" s="11" t="s">
        <v>82</v>
      </c>
      <c r="C36" s="26">
        <v>141700.35</v>
      </c>
      <c r="D36" s="26">
        <f t="shared" si="0"/>
        <v>145214.51868000001</v>
      </c>
      <c r="E36" s="26">
        <f t="shared" si="1"/>
        <v>149527.38988479602</v>
      </c>
      <c r="F36" s="26">
        <f t="shared" si="2"/>
        <v>143381.81416053089</v>
      </c>
      <c r="G36" s="26">
        <f t="shared" si="3"/>
        <v>25808.72654889556</v>
      </c>
      <c r="H36" s="26">
        <f t="shared" si="4"/>
        <v>169190.54070942645</v>
      </c>
      <c r="I36" s="32"/>
      <c r="J36" s="32"/>
      <c r="K36" s="33"/>
      <c r="L36" s="33"/>
      <c r="M36" s="34">
        <v>142180.42000000001</v>
      </c>
      <c r="N36" s="34">
        <f>M36*1.18</f>
        <v>167772.89560000002</v>
      </c>
      <c r="O36" s="12">
        <f t="shared" si="5"/>
        <v>167772.89560000002</v>
      </c>
      <c r="P36" s="3"/>
      <c r="Q36" s="3">
        <v>954424.37</v>
      </c>
      <c r="R36" s="3"/>
    </row>
    <row r="37" spans="1:18" s="21" customFormat="1" x14ac:dyDescent="0.25">
      <c r="A37" s="19"/>
      <c r="B37" s="23" t="s">
        <v>53</v>
      </c>
      <c r="C37" s="29"/>
      <c r="D37" s="26">
        <f t="shared" si="0"/>
        <v>0</v>
      </c>
      <c r="E37" s="26">
        <f t="shared" si="1"/>
        <v>0</v>
      </c>
      <c r="F37" s="26">
        <f t="shared" si="2"/>
        <v>0</v>
      </c>
      <c r="G37" s="26">
        <f t="shared" si="3"/>
        <v>0</v>
      </c>
      <c r="H37" s="26">
        <f t="shared" si="4"/>
        <v>0</v>
      </c>
      <c r="I37" s="28"/>
      <c r="J37" s="28"/>
      <c r="K37" s="28"/>
      <c r="L37" s="28"/>
      <c r="M37" s="28"/>
      <c r="N37" s="28"/>
      <c r="O37" s="12">
        <f t="shared" si="5"/>
        <v>0</v>
      </c>
      <c r="P37" s="20"/>
      <c r="Q37" s="20">
        <v>373499.37</v>
      </c>
      <c r="R37" s="20"/>
    </row>
    <row r="38" spans="1:18" ht="14.25" customHeight="1" x14ac:dyDescent="0.25">
      <c r="A38" s="10"/>
      <c r="B38" s="11" t="s">
        <v>69</v>
      </c>
      <c r="C38" s="26"/>
      <c r="D38" s="26">
        <f t="shared" si="0"/>
        <v>0</v>
      </c>
      <c r="E38" s="26">
        <f t="shared" si="1"/>
        <v>0</v>
      </c>
      <c r="F38" s="26">
        <f t="shared" si="2"/>
        <v>0</v>
      </c>
      <c r="G38" s="26">
        <f t="shared" si="3"/>
        <v>0</v>
      </c>
      <c r="H38" s="26">
        <f t="shared" si="4"/>
        <v>0</v>
      </c>
      <c r="I38" s="32"/>
      <c r="J38" s="32"/>
      <c r="K38" s="33">
        <v>37314.33</v>
      </c>
      <c r="L38" s="33">
        <f t="shared" si="7"/>
        <v>44030.909399999997</v>
      </c>
      <c r="M38" s="34"/>
      <c r="N38" s="34"/>
      <c r="O38" s="12">
        <f t="shared" si="5"/>
        <v>44030.909399999997</v>
      </c>
      <c r="P38" s="3"/>
      <c r="Q38" s="3">
        <v>331401.52</v>
      </c>
      <c r="R38" s="3"/>
    </row>
    <row r="39" spans="1:18" s="21" customFormat="1" x14ac:dyDescent="0.25">
      <c r="A39" s="19"/>
      <c r="B39" s="23" t="s">
        <v>54</v>
      </c>
      <c r="C39" s="29"/>
      <c r="D39" s="26">
        <f t="shared" si="0"/>
        <v>0</v>
      </c>
      <c r="E39" s="26">
        <f t="shared" si="1"/>
        <v>0</v>
      </c>
      <c r="F39" s="26">
        <f t="shared" si="2"/>
        <v>0</v>
      </c>
      <c r="G39" s="26">
        <f t="shared" si="3"/>
        <v>0</v>
      </c>
      <c r="H39" s="26">
        <f t="shared" si="4"/>
        <v>0</v>
      </c>
      <c r="I39" s="28"/>
      <c r="J39" s="28"/>
      <c r="K39" s="28"/>
      <c r="L39" s="28"/>
      <c r="M39" s="28"/>
      <c r="N39" s="28"/>
      <c r="O39" s="12">
        <f t="shared" si="5"/>
        <v>0</v>
      </c>
      <c r="P39" s="20"/>
      <c r="Q39" s="20">
        <v>142180.42000000001</v>
      </c>
      <c r="R39" s="20"/>
    </row>
    <row r="40" spans="1:18" x14ac:dyDescent="0.25">
      <c r="A40" s="10"/>
      <c r="B40" s="11" t="s">
        <v>69</v>
      </c>
      <c r="C40" s="26"/>
      <c r="D40" s="26">
        <f t="shared" si="0"/>
        <v>0</v>
      </c>
      <c r="E40" s="26">
        <f t="shared" si="1"/>
        <v>0</v>
      </c>
      <c r="F40" s="26">
        <f t="shared" si="2"/>
        <v>0</v>
      </c>
      <c r="G40" s="26">
        <f t="shared" si="3"/>
        <v>0</v>
      </c>
      <c r="H40" s="26">
        <f t="shared" si="4"/>
        <v>0</v>
      </c>
      <c r="I40" s="32"/>
      <c r="J40" s="32"/>
      <c r="K40" s="33">
        <v>13303.02</v>
      </c>
      <c r="L40" s="33">
        <f t="shared" si="7"/>
        <v>15697.563599999999</v>
      </c>
      <c r="M40" s="34"/>
      <c r="N40" s="34"/>
      <c r="O40" s="12">
        <f t="shared" si="5"/>
        <v>15697.563599999999</v>
      </c>
      <c r="P40" s="3"/>
      <c r="Q40" s="3">
        <v>37314.33</v>
      </c>
      <c r="R40" s="3"/>
    </row>
    <row r="41" spans="1:18" ht="30" x14ac:dyDescent="0.25">
      <c r="A41" s="10"/>
      <c r="B41" s="11" t="s">
        <v>83</v>
      </c>
      <c r="C41" s="26">
        <v>184201.46</v>
      </c>
      <c r="D41" s="26">
        <f t="shared" si="0"/>
        <v>188769.65620799997</v>
      </c>
      <c r="E41" s="26">
        <f t="shared" si="1"/>
        <v>194376.11499737759</v>
      </c>
      <c r="F41" s="26">
        <f t="shared" si="2"/>
        <v>186387.25667098537</v>
      </c>
      <c r="G41" s="26">
        <f t="shared" si="3"/>
        <v>33549.706200777364</v>
      </c>
      <c r="H41" s="26">
        <f t="shared" si="4"/>
        <v>219936.96287176275</v>
      </c>
      <c r="I41" s="32"/>
      <c r="J41" s="32"/>
      <c r="K41" s="33"/>
      <c r="L41" s="33"/>
      <c r="M41" s="34">
        <v>184734.58</v>
      </c>
      <c r="N41" s="34">
        <f>M41*1.18</f>
        <v>217986.80439999996</v>
      </c>
      <c r="O41" s="12">
        <f t="shared" si="5"/>
        <v>217986.80439999996</v>
      </c>
      <c r="P41" s="3"/>
      <c r="Q41" s="3">
        <v>13303.02</v>
      </c>
      <c r="R41" s="3"/>
    </row>
    <row r="42" spans="1:18" x14ac:dyDescent="0.25">
      <c r="A42" s="10"/>
      <c r="B42" s="11"/>
      <c r="C42" s="26"/>
      <c r="D42" s="26"/>
      <c r="E42" s="26"/>
      <c r="F42" s="26"/>
      <c r="G42" s="26"/>
      <c r="H42" s="26"/>
      <c r="I42" s="32"/>
      <c r="J42" s="32"/>
      <c r="K42" s="33"/>
      <c r="L42" s="33"/>
      <c r="M42" s="34"/>
      <c r="N42" s="34"/>
      <c r="O42" s="12">
        <f t="shared" si="5"/>
        <v>0</v>
      </c>
      <c r="P42" s="3"/>
      <c r="Q42" s="3">
        <v>184734.58</v>
      </c>
      <c r="R42" s="3"/>
    </row>
    <row r="43" spans="1:18" x14ac:dyDescent="0.25">
      <c r="A43" s="10"/>
      <c r="B43" s="11" t="s">
        <v>55</v>
      </c>
      <c r="C43" s="26"/>
      <c r="D43" s="26">
        <f t="shared" si="0"/>
        <v>0</v>
      </c>
      <c r="E43" s="26">
        <f t="shared" si="1"/>
        <v>0</v>
      </c>
      <c r="F43" s="26">
        <f t="shared" si="2"/>
        <v>0</v>
      </c>
      <c r="G43" s="26">
        <f t="shared" si="3"/>
        <v>0</v>
      </c>
      <c r="H43" s="26">
        <f t="shared" si="4"/>
        <v>0</v>
      </c>
      <c r="I43" s="32"/>
      <c r="J43" s="32"/>
      <c r="K43" s="33">
        <v>82260.88</v>
      </c>
      <c r="L43" s="33">
        <f t="shared" si="7"/>
        <v>97067.838399999993</v>
      </c>
      <c r="M43" s="34"/>
      <c r="N43" s="34"/>
      <c r="O43" s="12">
        <f t="shared" si="5"/>
        <v>97067.838399999993</v>
      </c>
      <c r="P43" s="3"/>
      <c r="Q43" s="3">
        <v>82260.88</v>
      </c>
      <c r="R43" s="3"/>
    </row>
    <row r="44" spans="1:18" x14ac:dyDescent="0.25">
      <c r="A44" s="10"/>
      <c r="B44" s="11" t="s">
        <v>55</v>
      </c>
      <c r="C44" s="26"/>
      <c r="D44" s="26">
        <f t="shared" si="0"/>
        <v>0</v>
      </c>
      <c r="E44" s="26">
        <f t="shared" si="1"/>
        <v>0</v>
      </c>
      <c r="F44" s="26">
        <f t="shared" si="2"/>
        <v>0</v>
      </c>
      <c r="G44" s="26">
        <f t="shared" si="3"/>
        <v>0</v>
      </c>
      <c r="H44" s="26">
        <f t="shared" si="4"/>
        <v>0</v>
      </c>
      <c r="I44" s="32"/>
      <c r="J44" s="32"/>
      <c r="K44" s="33">
        <v>82260.88</v>
      </c>
      <c r="L44" s="33">
        <f t="shared" si="7"/>
        <v>97067.838399999993</v>
      </c>
      <c r="M44" s="34"/>
      <c r="N44" s="34"/>
      <c r="O44" s="12">
        <f t="shared" si="5"/>
        <v>97067.838399999993</v>
      </c>
      <c r="P44" s="3"/>
      <c r="Q44" s="3">
        <v>82260.88</v>
      </c>
      <c r="R44" s="3"/>
    </row>
    <row r="45" spans="1:18" x14ac:dyDescent="0.25">
      <c r="A45" s="10"/>
      <c r="B45" s="11" t="s">
        <v>55</v>
      </c>
      <c r="C45" s="26"/>
      <c r="D45" s="26">
        <f t="shared" si="0"/>
        <v>0</v>
      </c>
      <c r="E45" s="26">
        <f t="shared" si="1"/>
        <v>0</v>
      </c>
      <c r="F45" s="26">
        <f t="shared" si="2"/>
        <v>0</v>
      </c>
      <c r="G45" s="26">
        <f t="shared" si="3"/>
        <v>0</v>
      </c>
      <c r="H45" s="26">
        <f t="shared" si="4"/>
        <v>0</v>
      </c>
      <c r="I45" s="32"/>
      <c r="J45" s="32"/>
      <c r="K45" s="33">
        <v>82260.88</v>
      </c>
      <c r="L45" s="33">
        <f t="shared" si="7"/>
        <v>97067.838399999993</v>
      </c>
      <c r="M45" s="34"/>
      <c r="N45" s="34"/>
      <c r="O45" s="12">
        <f t="shared" si="5"/>
        <v>97067.838399999993</v>
      </c>
      <c r="P45" s="3"/>
      <c r="Q45" s="3">
        <v>82260.88</v>
      </c>
      <c r="R45" s="3"/>
    </row>
    <row r="46" spans="1:18" x14ac:dyDescent="0.25">
      <c r="A46" s="10"/>
      <c r="B46" s="11" t="s">
        <v>84</v>
      </c>
      <c r="C46" s="26">
        <v>939285.38</v>
      </c>
      <c r="D46" s="26">
        <f t="shared" si="0"/>
        <v>962579.65742399998</v>
      </c>
      <c r="E46" s="26">
        <f t="shared" si="1"/>
        <v>991168.27324949286</v>
      </c>
      <c r="F46" s="26">
        <f t="shared" si="2"/>
        <v>950431.25721893867</v>
      </c>
      <c r="G46" s="26">
        <f t="shared" si="3"/>
        <v>171077.62629940896</v>
      </c>
      <c r="H46" s="26">
        <f t="shared" si="4"/>
        <v>1121508.8835183475</v>
      </c>
      <c r="I46" s="32"/>
      <c r="J46" s="32"/>
      <c r="K46" s="33"/>
      <c r="L46" s="33"/>
      <c r="M46" s="34">
        <v>234483.43</v>
      </c>
      <c r="N46" s="34">
        <f>M46*1.18</f>
        <v>276690.4474</v>
      </c>
      <c r="O46" s="12">
        <f t="shared" si="5"/>
        <v>276690.4474</v>
      </c>
      <c r="P46" s="3"/>
      <c r="Q46" s="3">
        <v>234483.43</v>
      </c>
      <c r="R46" s="3"/>
    </row>
    <row r="47" spans="1:18" x14ac:dyDescent="0.25">
      <c r="A47" s="10"/>
      <c r="B47" s="11" t="s">
        <v>85</v>
      </c>
      <c r="C47" s="26">
        <v>939285.38</v>
      </c>
      <c r="D47" s="26">
        <f t="shared" si="0"/>
        <v>962579.65742399998</v>
      </c>
      <c r="E47" s="26">
        <f t="shared" si="1"/>
        <v>991168.27324949286</v>
      </c>
      <c r="F47" s="26">
        <f t="shared" si="2"/>
        <v>950431.25721893867</v>
      </c>
      <c r="G47" s="26">
        <f t="shared" si="3"/>
        <v>171077.62629940896</v>
      </c>
      <c r="H47" s="26">
        <f t="shared" si="4"/>
        <v>1121508.8835183475</v>
      </c>
      <c r="I47" s="32"/>
      <c r="J47" s="32"/>
      <c r="K47" s="33"/>
      <c r="L47" s="33"/>
      <c r="M47" s="34">
        <v>234483.43</v>
      </c>
      <c r="N47" s="34">
        <f>M47*1.18</f>
        <v>276690.4474</v>
      </c>
      <c r="O47" s="12">
        <f t="shared" si="5"/>
        <v>276690.4474</v>
      </c>
      <c r="P47" s="3"/>
      <c r="Q47" s="3">
        <v>234484.43</v>
      </c>
      <c r="R47" s="3"/>
    </row>
    <row r="48" spans="1:18" x14ac:dyDescent="0.25">
      <c r="A48" s="10"/>
      <c r="B48" s="11" t="s">
        <v>86</v>
      </c>
      <c r="C48" s="26">
        <v>939285.38</v>
      </c>
      <c r="D48" s="26">
        <f t="shared" si="0"/>
        <v>962579.65742399998</v>
      </c>
      <c r="E48" s="26">
        <f t="shared" si="1"/>
        <v>991168.27324949286</v>
      </c>
      <c r="F48" s="26">
        <f t="shared" si="2"/>
        <v>950431.25721893867</v>
      </c>
      <c r="G48" s="26">
        <f t="shared" si="3"/>
        <v>171077.62629940896</v>
      </c>
      <c r="H48" s="26">
        <f t="shared" si="4"/>
        <v>1121508.8835183475</v>
      </c>
      <c r="I48" s="32"/>
      <c r="J48" s="32"/>
      <c r="K48" s="33"/>
      <c r="L48" s="33"/>
      <c r="M48" s="34">
        <v>314273.91999999998</v>
      </c>
      <c r="N48" s="34">
        <f>M48*1.18</f>
        <v>370843.22559999995</v>
      </c>
      <c r="O48" s="12">
        <f t="shared" si="5"/>
        <v>370843.22559999995</v>
      </c>
      <c r="P48" s="3"/>
      <c r="Q48" s="3">
        <v>314273.91999999998</v>
      </c>
      <c r="R48" s="3"/>
    </row>
    <row r="49" spans="1:18" ht="30" x14ac:dyDescent="0.25">
      <c r="A49" s="10"/>
      <c r="B49" s="11" t="s">
        <v>57</v>
      </c>
      <c r="C49" s="26"/>
      <c r="D49" s="26">
        <f t="shared" si="0"/>
        <v>0</v>
      </c>
      <c r="E49" s="26">
        <f t="shared" si="1"/>
        <v>0</v>
      </c>
      <c r="F49" s="26">
        <f t="shared" si="2"/>
        <v>0</v>
      </c>
      <c r="G49" s="26">
        <f t="shared" si="3"/>
        <v>0</v>
      </c>
      <c r="H49" s="26">
        <f t="shared" si="4"/>
        <v>0</v>
      </c>
      <c r="I49" s="32"/>
      <c r="J49" s="32"/>
      <c r="K49" s="33">
        <v>735513.37</v>
      </c>
      <c r="L49" s="33">
        <f t="shared" si="7"/>
        <v>867905.77659999998</v>
      </c>
      <c r="M49" s="34"/>
      <c r="N49" s="34"/>
      <c r="O49" s="12">
        <f t="shared" si="5"/>
        <v>867905.77659999998</v>
      </c>
      <c r="P49" s="3"/>
      <c r="Q49" s="3">
        <v>735513.37</v>
      </c>
      <c r="R49" s="3"/>
    </row>
    <row r="50" spans="1:18" x14ac:dyDescent="0.25">
      <c r="A50" s="10"/>
      <c r="B50" s="11" t="s">
        <v>87</v>
      </c>
      <c r="C50" s="26">
        <v>426228.69</v>
      </c>
      <c r="D50" s="26">
        <f t="shared" si="0"/>
        <v>436799.16151199996</v>
      </c>
      <c r="E50" s="26">
        <f t="shared" si="1"/>
        <v>449772.0966089064</v>
      </c>
      <c r="F50" s="26">
        <f t="shared" si="2"/>
        <v>431286.46343828033</v>
      </c>
      <c r="G50" s="26">
        <f t="shared" si="3"/>
        <v>77631.563418890451</v>
      </c>
      <c r="H50" s="26">
        <f t="shared" si="4"/>
        <v>508918.0268571708</v>
      </c>
      <c r="I50" s="32"/>
      <c r="J50" s="32"/>
      <c r="K50" s="33"/>
      <c r="L50" s="33"/>
      <c r="M50" s="34">
        <v>431286.47</v>
      </c>
      <c r="N50" s="34">
        <f>M50*1.18</f>
        <v>508918.03459999996</v>
      </c>
      <c r="O50" s="12">
        <f t="shared" si="5"/>
        <v>508918.03459999996</v>
      </c>
      <c r="P50" s="3"/>
      <c r="Q50" s="3">
        <v>431286.47</v>
      </c>
      <c r="R50" s="3"/>
    </row>
    <row r="51" spans="1:18" x14ac:dyDescent="0.25">
      <c r="A51" s="10"/>
      <c r="B51" s="11" t="s">
        <v>88</v>
      </c>
      <c r="C51" s="26">
        <v>44545.55</v>
      </c>
      <c r="D51" s="26">
        <f t="shared" si="0"/>
        <v>45650.279640000001</v>
      </c>
      <c r="E51" s="26">
        <f t="shared" si="1"/>
        <v>47006.092945308003</v>
      </c>
      <c r="F51" s="26">
        <f t="shared" si="2"/>
        <v>45074.14252525584</v>
      </c>
      <c r="G51" s="26">
        <f t="shared" si="3"/>
        <v>8113.3456545460513</v>
      </c>
      <c r="H51" s="26">
        <f t="shared" si="4"/>
        <v>53187.488179801891</v>
      </c>
      <c r="I51" s="32"/>
      <c r="J51" s="32"/>
      <c r="K51" s="33"/>
      <c r="L51" s="33"/>
      <c r="M51" s="34">
        <v>45074.14</v>
      </c>
      <c r="N51" s="34">
        <f>M51*1.18</f>
        <v>53187.485199999996</v>
      </c>
      <c r="O51" s="12">
        <f t="shared" si="5"/>
        <v>53187.485199999996</v>
      </c>
      <c r="P51" s="3"/>
      <c r="Q51" s="3">
        <v>45074.14</v>
      </c>
      <c r="R51" s="3"/>
    </row>
    <row r="52" spans="1:18" x14ac:dyDescent="0.25">
      <c r="A52" s="10"/>
      <c r="B52" s="11" t="s">
        <v>89</v>
      </c>
      <c r="C52" s="26">
        <v>983825.04</v>
      </c>
      <c r="D52" s="26">
        <f t="shared" si="0"/>
        <v>1008223.900992</v>
      </c>
      <c r="E52" s="26">
        <f t="shared" si="1"/>
        <v>1038168.1508514625</v>
      </c>
      <c r="F52" s="26">
        <f t="shared" si="2"/>
        <v>995499.43985146738</v>
      </c>
      <c r="G52" s="26">
        <f t="shared" si="3"/>
        <v>179189.89917326413</v>
      </c>
      <c r="H52" s="26">
        <f t="shared" si="4"/>
        <v>1174689.3390247314</v>
      </c>
      <c r="I52" s="32"/>
      <c r="J52" s="32"/>
      <c r="K52" s="33"/>
      <c r="L52" s="33"/>
      <c r="M52" s="34">
        <v>993867.09</v>
      </c>
      <c r="N52" s="34">
        <f>M52*1.18</f>
        <v>1172763.1661999999</v>
      </c>
      <c r="O52" s="12">
        <f t="shared" si="5"/>
        <v>1172763.1661999999</v>
      </c>
      <c r="P52" s="3"/>
      <c r="Q52" s="3">
        <v>993867.09</v>
      </c>
      <c r="R52" s="3"/>
    </row>
    <row r="53" spans="1:18" x14ac:dyDescent="0.25">
      <c r="A53" s="10"/>
      <c r="B53" s="11" t="s">
        <v>90</v>
      </c>
      <c r="C53" s="26">
        <v>1192594.51</v>
      </c>
      <c r="D53" s="26">
        <f t="shared" si="0"/>
        <v>1222170.8538479998</v>
      </c>
      <c r="E53" s="26">
        <f t="shared" si="1"/>
        <v>1258469.3282072854</v>
      </c>
      <c r="F53" s="26">
        <f t="shared" si="2"/>
        <v>1206746.2388179658</v>
      </c>
      <c r="G53" s="26">
        <f t="shared" si="3"/>
        <v>217214.32298723384</v>
      </c>
      <c r="H53" s="26">
        <f t="shared" si="4"/>
        <v>1423960.5618051996</v>
      </c>
      <c r="I53" s="32"/>
      <c r="J53" s="32"/>
      <c r="K53" s="33"/>
      <c r="L53" s="33"/>
      <c r="M53" s="34">
        <v>259278.54</v>
      </c>
      <c r="N53" s="34">
        <f>M53*1.18</f>
        <v>305948.67719999998</v>
      </c>
      <c r="O53" s="12">
        <f t="shared" si="5"/>
        <v>305948.67719999998</v>
      </c>
      <c r="P53" s="3"/>
      <c r="Q53" s="3">
        <v>259278.54</v>
      </c>
      <c r="R53" s="3"/>
    </row>
    <row r="54" spans="1:18" x14ac:dyDescent="0.25">
      <c r="A54" s="10"/>
      <c r="B54" s="11" t="s">
        <v>42</v>
      </c>
      <c r="C54" s="26"/>
      <c r="D54" s="26">
        <f t="shared" si="0"/>
        <v>0</v>
      </c>
      <c r="E54" s="26">
        <f t="shared" si="1"/>
        <v>0</v>
      </c>
      <c r="F54" s="26">
        <f t="shared" si="2"/>
        <v>0</v>
      </c>
      <c r="G54" s="26">
        <f t="shared" si="3"/>
        <v>0</v>
      </c>
      <c r="H54" s="26">
        <f t="shared" si="4"/>
        <v>0</v>
      </c>
      <c r="I54" s="32">
        <v>382221.61</v>
      </c>
      <c r="J54" s="32">
        <f t="shared" si="6"/>
        <v>451021.49979999993</v>
      </c>
      <c r="K54" s="33"/>
      <c r="L54" s="33"/>
      <c r="M54" s="34"/>
      <c r="N54" s="34"/>
      <c r="O54" s="12">
        <f t="shared" si="5"/>
        <v>451021.49979999993</v>
      </c>
      <c r="P54" s="3"/>
      <c r="Q54" s="3">
        <v>382221.61</v>
      </c>
      <c r="R54" s="3"/>
    </row>
    <row r="55" spans="1:18" s="6" customFormat="1" x14ac:dyDescent="0.25">
      <c r="A55" s="9"/>
      <c r="B55" s="9" t="s">
        <v>56</v>
      </c>
      <c r="C55" s="30"/>
      <c r="D55" s="30"/>
      <c r="E55" s="30"/>
      <c r="F55" s="30"/>
      <c r="G55" s="30"/>
      <c r="H55" s="30"/>
      <c r="I55" s="35">
        <f>SUM(I8:I54)</f>
        <v>5094190.3400000008</v>
      </c>
      <c r="J55" s="35">
        <f>SUM(J8:J54)</f>
        <v>6011144.6012000004</v>
      </c>
      <c r="K55" s="35">
        <f t="shared" ref="K55:L55" si="8">SUM(K8:K54)</f>
        <v>23195961.380000003</v>
      </c>
      <c r="L55" s="35">
        <f t="shared" si="8"/>
        <v>27371234.428399995</v>
      </c>
      <c r="M55" s="35">
        <f t="shared" ref="M55" si="9">SUM(M8:M54)</f>
        <v>20645898.91</v>
      </c>
      <c r="N55" s="35">
        <f t="shared" ref="N55" si="10">SUM(N8:N54)</f>
        <v>24362160.713800006</v>
      </c>
      <c r="O55" s="13">
        <f t="shared" si="5"/>
        <v>57744539.7434</v>
      </c>
      <c r="P55" s="7"/>
      <c r="Q55" s="7">
        <f>SUM(Q8:Q54)</f>
        <v>48936051.630000018</v>
      </c>
      <c r="R55" s="7"/>
    </row>
    <row r="56" spans="1:18" x14ac:dyDescent="0.25">
      <c r="I56" s="36"/>
      <c r="J56" s="36"/>
      <c r="K56" s="36"/>
      <c r="L56" s="36"/>
      <c r="M56" s="36"/>
      <c r="N56" s="36"/>
      <c r="O56" s="3"/>
      <c r="P56" s="3"/>
      <c r="Q56" s="3">
        <f>Q55*1.18</f>
        <v>57744540.923400015</v>
      </c>
      <c r="R56" s="3"/>
    </row>
    <row r="57" spans="1:18" x14ac:dyDescent="0.25">
      <c r="I57" s="36"/>
      <c r="J57" s="36"/>
      <c r="K57" s="36"/>
      <c r="L57" s="36"/>
      <c r="M57" s="36"/>
      <c r="N57" s="36"/>
      <c r="O57" s="3"/>
      <c r="P57" s="3"/>
      <c r="Q57" s="3"/>
      <c r="R57" s="3"/>
    </row>
    <row r="58" spans="1:18" x14ac:dyDescent="0.25">
      <c r="I58" s="36"/>
      <c r="J58" s="36"/>
      <c r="K58" s="36"/>
      <c r="L58" s="36"/>
      <c r="M58" s="36"/>
      <c r="N58" s="36"/>
      <c r="O58" s="3"/>
      <c r="P58" s="3"/>
      <c r="Q58" s="3"/>
      <c r="R58" s="3"/>
    </row>
    <row r="59" spans="1:18" x14ac:dyDescent="0.25">
      <c r="I59" s="36"/>
      <c r="J59" s="36"/>
      <c r="K59" s="36"/>
      <c r="L59" s="36"/>
      <c r="M59" s="36"/>
      <c r="N59" s="36"/>
      <c r="O59" s="3"/>
      <c r="P59" s="3"/>
      <c r="Q59" s="3"/>
      <c r="R59" s="3"/>
    </row>
    <row r="60" spans="1:18" x14ac:dyDescent="0.25">
      <c r="I60" s="36"/>
      <c r="J60" s="36"/>
      <c r="K60" s="36"/>
      <c r="L60" s="36"/>
      <c r="M60" s="36"/>
      <c r="N60" s="36"/>
      <c r="O60" s="3"/>
      <c r="P60" s="3"/>
      <c r="Q60" s="3"/>
      <c r="R60" s="3"/>
    </row>
    <row r="61" spans="1:18" x14ac:dyDescent="0.25">
      <c r="I61" s="36"/>
      <c r="J61" s="36"/>
      <c r="K61" s="36"/>
      <c r="L61" s="36"/>
      <c r="M61" s="36"/>
      <c r="N61" s="36"/>
      <c r="O61" s="3"/>
      <c r="P61" s="3"/>
      <c r="Q61" s="3"/>
      <c r="R61" s="3"/>
    </row>
    <row r="62" spans="1:18" x14ac:dyDescent="0.25">
      <c r="I62" s="36"/>
      <c r="J62" s="36"/>
      <c r="K62" s="36"/>
      <c r="L62" s="36"/>
      <c r="M62" s="36"/>
      <c r="N62" s="36"/>
      <c r="O62" s="3"/>
      <c r="P62" s="3"/>
      <c r="Q62" s="3"/>
      <c r="R62" s="3"/>
    </row>
    <row r="63" spans="1:18" x14ac:dyDescent="0.25">
      <c r="I63" s="36"/>
      <c r="J63" s="36"/>
      <c r="K63" s="36"/>
      <c r="L63" s="36"/>
      <c r="M63" s="36"/>
      <c r="N63" s="36"/>
      <c r="O63" s="3"/>
      <c r="P63" s="3"/>
      <c r="Q63" s="3"/>
      <c r="R63" s="3"/>
    </row>
    <row r="64" spans="1:18" x14ac:dyDescent="0.25">
      <c r="I64" s="36"/>
      <c r="J64" s="36"/>
      <c r="K64" s="36"/>
      <c r="L64" s="36"/>
      <c r="M64" s="36"/>
      <c r="N64" s="36"/>
      <c r="O64" s="3"/>
      <c r="P64" s="3"/>
      <c r="Q64" s="3"/>
      <c r="R64" s="3"/>
    </row>
    <row r="65" spans="9:18" x14ac:dyDescent="0.25">
      <c r="I65" s="36"/>
      <c r="J65" s="36"/>
      <c r="K65" s="36"/>
      <c r="L65" s="36"/>
      <c r="M65" s="36"/>
      <c r="N65" s="36"/>
      <c r="O65" s="3"/>
      <c r="P65" s="3"/>
      <c r="Q65" s="3"/>
      <c r="R65" s="3"/>
    </row>
    <row r="66" spans="9:18" x14ac:dyDescent="0.25">
      <c r="I66" s="36"/>
      <c r="J66" s="36"/>
      <c r="K66" s="36"/>
      <c r="L66" s="36"/>
      <c r="M66" s="36"/>
      <c r="N66" s="36"/>
      <c r="O66" s="3"/>
      <c r="P66" s="3"/>
      <c r="Q66" s="3"/>
      <c r="R66" s="3"/>
    </row>
    <row r="67" spans="9:18" x14ac:dyDescent="0.25">
      <c r="I67" s="36"/>
      <c r="J67" s="36"/>
      <c r="K67" s="36"/>
      <c r="L67" s="36"/>
      <c r="M67" s="36"/>
      <c r="N67" s="36"/>
      <c r="O67" s="3"/>
      <c r="P67" s="3"/>
      <c r="Q67" s="3"/>
      <c r="R67" s="3"/>
    </row>
    <row r="68" spans="9:18" x14ac:dyDescent="0.25">
      <c r="I68" s="36"/>
      <c r="J68" s="36"/>
      <c r="K68" s="36"/>
      <c r="L68" s="36"/>
      <c r="M68" s="36"/>
      <c r="N68" s="36"/>
      <c r="O68" s="3"/>
      <c r="P68" s="3"/>
      <c r="Q68" s="3"/>
      <c r="R68" s="3"/>
    </row>
    <row r="69" spans="9:18" x14ac:dyDescent="0.25">
      <c r="I69" s="36"/>
      <c r="J69" s="36"/>
      <c r="K69" s="36"/>
      <c r="L69" s="36"/>
      <c r="M69" s="36"/>
      <c r="N69" s="36"/>
      <c r="O69" s="3"/>
      <c r="P69" s="3"/>
      <c r="Q69" s="3"/>
      <c r="R69" s="3"/>
    </row>
  </sheetData>
  <mergeCells count="6">
    <mergeCell ref="A2:Q2"/>
    <mergeCell ref="A3:Q3"/>
    <mergeCell ref="A4:Q4"/>
    <mergeCell ref="I6:J6"/>
    <mergeCell ref="K6:L6"/>
    <mergeCell ref="M6:N6"/>
  </mergeCells>
  <pageMargins left="0.7" right="0.7" top="0.75" bottom="0.75" header="0.3" footer="0.3"/>
  <pageSetup paperSize="9" scale="38" orientation="portrait" r:id="rId1"/>
  <colBreaks count="1" manualBreakCount="1">
    <brk id="2" max="5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A7" sqref="A7"/>
    </sheetView>
  </sheetViews>
  <sheetFormatPr defaultRowHeight="15" x14ac:dyDescent="0.25"/>
  <cols>
    <col min="1" max="1" width="46.85546875" customWidth="1"/>
    <col min="2" max="2" width="25" bestFit="1" customWidth="1"/>
    <col min="3" max="3" width="12.140625" bestFit="1" customWidth="1"/>
  </cols>
  <sheetData>
    <row r="1" spans="1:13" x14ac:dyDescent="0.25">
      <c r="C1" s="2">
        <v>42552</v>
      </c>
    </row>
    <row r="2" spans="1:13" s="4" customFormat="1" x14ac:dyDescent="0.25">
      <c r="B2" s="4" t="s">
        <v>0</v>
      </c>
      <c r="C2" s="5">
        <f>C3+C4+C5+C6+C7+C8+C9+C10+C11+C12</f>
        <v>4977877.9800000004</v>
      </c>
    </row>
    <row r="3" spans="1:13" ht="45" x14ac:dyDescent="0.25">
      <c r="A3" s="1" t="s">
        <v>2</v>
      </c>
      <c r="B3" t="s">
        <v>1</v>
      </c>
      <c r="C3" s="3">
        <v>914097.55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45" x14ac:dyDescent="0.25">
      <c r="A4" s="1" t="s">
        <v>5</v>
      </c>
      <c r="B4" t="s">
        <v>3</v>
      </c>
      <c r="C4" s="3">
        <v>586510.05000000005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" x14ac:dyDescent="0.25">
      <c r="A5" s="1" t="s">
        <v>5</v>
      </c>
      <c r="B5" t="s">
        <v>4</v>
      </c>
      <c r="C5" s="3">
        <v>586510.05000000005</v>
      </c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60" x14ac:dyDescent="0.25">
      <c r="A6" s="1" t="s">
        <v>7</v>
      </c>
      <c r="B6" t="s">
        <v>6</v>
      </c>
      <c r="C6" s="3">
        <v>-176275.73</v>
      </c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45" x14ac:dyDescent="0.25">
      <c r="A7" s="1" t="s">
        <v>9</v>
      </c>
      <c r="B7" t="s">
        <v>8</v>
      </c>
      <c r="C7" s="3">
        <v>105098.08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5">
      <c r="A8" s="1" t="s">
        <v>19</v>
      </c>
      <c r="B8" t="s">
        <v>10</v>
      </c>
      <c r="C8" s="3">
        <v>20132.53</v>
      </c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x14ac:dyDescent="0.25">
      <c r="A9" s="1" t="s">
        <v>12</v>
      </c>
      <c r="B9" t="s">
        <v>11</v>
      </c>
      <c r="C9" s="3">
        <v>769971.09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1" t="s">
        <v>14</v>
      </c>
      <c r="B10" t="s">
        <v>13</v>
      </c>
      <c r="C10" s="3">
        <v>568245.91</v>
      </c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5">
      <c r="A11" s="1" t="s">
        <v>16</v>
      </c>
      <c r="B11" t="s">
        <v>15</v>
      </c>
      <c r="C11" s="3">
        <v>159332.39000000001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5">
      <c r="A12" s="1" t="s">
        <v>18</v>
      </c>
      <c r="B12" t="s">
        <v>17</v>
      </c>
      <c r="C12" s="3">
        <v>1444256.06</v>
      </c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s="4" customFormat="1" x14ac:dyDescent="0.25">
      <c r="B13" s="4" t="s">
        <v>20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ht="30" x14ac:dyDescent="0.25">
      <c r="A14" s="1" t="s">
        <v>22</v>
      </c>
      <c r="B14" t="s">
        <v>21</v>
      </c>
      <c r="C14" s="3">
        <v>402500.24</v>
      </c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30" x14ac:dyDescent="0.25">
      <c r="A15" s="1" t="s">
        <v>24</v>
      </c>
      <c r="B15" t="s">
        <v>23</v>
      </c>
      <c r="C15" s="3">
        <v>719911.28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45" x14ac:dyDescent="0.25">
      <c r="A16" s="1" t="s">
        <v>26</v>
      </c>
      <c r="B16" t="s">
        <v>25</v>
      </c>
      <c r="C16" s="3">
        <v>183280.96</v>
      </c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60" x14ac:dyDescent="0.25">
      <c r="A17" s="1" t="s">
        <v>28</v>
      </c>
      <c r="B17" t="s">
        <v>27</v>
      </c>
      <c r="C17" s="3">
        <v>136543.51999999999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60" x14ac:dyDescent="0.25">
      <c r="A18" s="1" t="s">
        <v>30</v>
      </c>
      <c r="B18" t="s">
        <v>29</v>
      </c>
      <c r="C18" s="3">
        <v>105736.07</v>
      </c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45" x14ac:dyDescent="0.25">
      <c r="A19" s="1" t="s">
        <v>32</v>
      </c>
      <c r="B19" t="s">
        <v>31</v>
      </c>
      <c r="C19" s="3">
        <v>13171.59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1" t="s">
        <v>34</v>
      </c>
      <c r="B20" t="s">
        <v>33</v>
      </c>
      <c r="C20" s="3">
        <v>369398.7</v>
      </c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1" t="s">
        <v>36</v>
      </c>
      <c r="B21" t="s">
        <v>35</v>
      </c>
      <c r="C21" s="3">
        <v>2629656.54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45" x14ac:dyDescent="0.25">
      <c r="A22" s="1" t="s">
        <v>38</v>
      </c>
      <c r="B22" t="s">
        <v>37</v>
      </c>
      <c r="C22" s="3">
        <v>-1140913.79</v>
      </c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30" x14ac:dyDescent="0.25">
      <c r="A23" s="1" t="s">
        <v>94</v>
      </c>
      <c r="B23" t="s">
        <v>93</v>
      </c>
      <c r="C23" s="3">
        <v>-196211.19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30" x14ac:dyDescent="0.25">
      <c r="A24" s="1" t="s">
        <v>96</v>
      </c>
      <c r="B24" t="s">
        <v>95</v>
      </c>
      <c r="C24" s="3">
        <v>-547007.76</v>
      </c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30" x14ac:dyDescent="0.25">
      <c r="A25" s="1" t="s">
        <v>98</v>
      </c>
      <c r="B25" t="s">
        <v>97</v>
      </c>
      <c r="C25" s="3">
        <v>-196737.01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30" x14ac:dyDescent="0.25">
      <c r="A26" s="1" t="s">
        <v>100</v>
      </c>
      <c r="B26" t="s">
        <v>99</v>
      </c>
      <c r="C26" s="3">
        <v>-518395.34</v>
      </c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30" x14ac:dyDescent="0.25">
      <c r="A27" s="1" t="s">
        <v>102</v>
      </c>
      <c r="B27" t="s">
        <v>101</v>
      </c>
      <c r="C27" s="3">
        <v>-86289.38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45" x14ac:dyDescent="0.25">
      <c r="A28" s="1" t="s">
        <v>104</v>
      </c>
      <c r="B28" t="s">
        <v>103</v>
      </c>
      <c r="C28" s="3">
        <v>-413228.24</v>
      </c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60" x14ac:dyDescent="0.25">
      <c r="A29" s="1" t="s">
        <v>105</v>
      </c>
      <c r="B29" t="s">
        <v>29</v>
      </c>
      <c r="C29" s="3">
        <v>-105736.07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5">
      <c r="A30" s="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8"/>
  <sheetViews>
    <sheetView view="pageBreakPreview" zoomScaleSheetLayoutView="100" workbookViewId="0">
      <selection activeCell="D44" sqref="D44"/>
    </sheetView>
  </sheetViews>
  <sheetFormatPr defaultRowHeight="15" x14ac:dyDescent="0.25"/>
  <cols>
    <col min="1" max="1" width="7.7109375" customWidth="1"/>
    <col min="2" max="2" width="28.42578125" customWidth="1"/>
    <col min="3" max="3" width="13" bestFit="1" customWidth="1"/>
    <col min="4" max="5" width="13.5703125" bestFit="1" customWidth="1"/>
    <col min="6" max="9" width="10.85546875" hidden="1" customWidth="1"/>
    <col min="10" max="19" width="12.42578125" hidden="1" customWidth="1"/>
    <col min="20" max="20" width="12.28515625" hidden="1" customWidth="1"/>
    <col min="21" max="21" width="13.140625" hidden="1" customWidth="1"/>
    <col min="22" max="23" width="12.42578125" hidden="1" customWidth="1"/>
    <col min="24" max="24" width="11.28515625" hidden="1" customWidth="1"/>
    <col min="25" max="25" width="11.140625" hidden="1" customWidth="1"/>
  </cols>
  <sheetData>
    <row r="2" spans="1:25" s="6" customFormat="1" x14ac:dyDescent="0.25">
      <c r="A2" s="9"/>
      <c r="B2" s="9"/>
      <c r="C2" s="9"/>
      <c r="D2" s="9"/>
      <c r="E2" s="9"/>
      <c r="F2" s="88" t="s">
        <v>108</v>
      </c>
      <c r="G2" s="88"/>
      <c r="H2" s="95" t="s">
        <v>113</v>
      </c>
      <c r="I2" s="95"/>
      <c r="J2" s="91" t="s">
        <v>118</v>
      </c>
      <c r="K2" s="91"/>
      <c r="L2" s="98" t="s">
        <v>120</v>
      </c>
      <c r="M2" s="98"/>
      <c r="N2" s="99" t="s">
        <v>128</v>
      </c>
      <c r="O2" s="99"/>
      <c r="P2" s="92" t="s">
        <v>133</v>
      </c>
      <c r="Q2" s="93"/>
      <c r="R2" s="94" t="s">
        <v>138</v>
      </c>
      <c r="S2" s="94"/>
      <c r="T2" s="95" t="s">
        <v>145</v>
      </c>
      <c r="U2" s="95"/>
      <c r="V2" s="96" t="s">
        <v>151</v>
      </c>
      <c r="W2" s="97"/>
      <c r="X2" s="91" t="s">
        <v>151</v>
      </c>
      <c r="Y2" s="91"/>
    </row>
    <row r="3" spans="1:25" s="21" customFormat="1" ht="30" x14ac:dyDescent="0.25">
      <c r="A3" s="19"/>
      <c r="B3" s="23" t="s">
        <v>106</v>
      </c>
      <c r="C3" s="19"/>
      <c r="D3" s="19"/>
      <c r="E3" s="19"/>
      <c r="F3" s="43"/>
      <c r="G3" s="43"/>
      <c r="H3" s="44"/>
      <c r="I3" s="44"/>
      <c r="J3" s="47"/>
      <c r="K3" s="47"/>
      <c r="L3" s="56"/>
      <c r="M3" s="56"/>
      <c r="N3" s="53"/>
      <c r="O3" s="53"/>
      <c r="P3" s="48"/>
      <c r="Q3" s="48"/>
      <c r="R3" s="52"/>
      <c r="S3" s="52"/>
      <c r="T3" s="46"/>
      <c r="U3" s="46"/>
      <c r="V3" s="58"/>
      <c r="W3" s="58"/>
      <c r="X3" s="18"/>
      <c r="Y3" s="18"/>
    </row>
    <row r="4" spans="1:25" x14ac:dyDescent="0.25">
      <c r="A4" s="10"/>
      <c r="B4" s="11" t="s">
        <v>61</v>
      </c>
      <c r="C4" s="10" t="s">
        <v>107</v>
      </c>
      <c r="D4" s="12">
        <f>F4+H4+J4+L4+N4+P4+R4+T4+V4+X4</f>
        <v>1111342.1599999999</v>
      </c>
      <c r="E4" s="12">
        <f>G4+I4+K4+M4+O4+Q4+S4+U4+W4+Y4</f>
        <v>1311383.7487999999</v>
      </c>
      <c r="F4" s="14">
        <v>172419.66</v>
      </c>
      <c r="G4" s="14">
        <f>F4*1.18</f>
        <v>203455.19879999998</v>
      </c>
      <c r="H4" s="45"/>
      <c r="I4" s="45"/>
      <c r="J4" s="17"/>
      <c r="K4" s="17"/>
      <c r="L4" s="57">
        <v>242135.86</v>
      </c>
      <c r="M4" s="57">
        <f>L4*1.18</f>
        <v>285720.31479999999</v>
      </c>
      <c r="N4" s="54"/>
      <c r="O4" s="54"/>
      <c r="P4" s="49">
        <v>652037.15</v>
      </c>
      <c r="Q4" s="49">
        <f>P4*1.18</f>
        <v>769403.83699999994</v>
      </c>
      <c r="R4" s="51">
        <v>44749.49</v>
      </c>
      <c r="S4" s="51">
        <f>R4*1.18</f>
        <v>52804.398199999996</v>
      </c>
      <c r="T4" s="45"/>
      <c r="U4" s="45"/>
      <c r="V4" s="57"/>
      <c r="W4" s="57"/>
      <c r="X4" s="17"/>
      <c r="Y4" s="17"/>
    </row>
    <row r="5" spans="1:25" x14ac:dyDescent="0.25">
      <c r="A5" s="10"/>
      <c r="B5" s="11" t="s">
        <v>62</v>
      </c>
      <c r="C5" s="10" t="s">
        <v>112</v>
      </c>
      <c r="D5" s="12">
        <f t="shared" ref="D5:D46" si="0">F5+H5+J5+L5+N5+P5+R5+T5+V5+X5</f>
        <v>1207495.8599999999</v>
      </c>
      <c r="E5" s="12">
        <f t="shared" ref="E5:E46" si="1">G5+I5+K5+M5+O5+Q5+S5+U5+W5+Y5</f>
        <v>1424845.1148000001</v>
      </c>
      <c r="F5" s="14"/>
      <c r="G5" s="14"/>
      <c r="H5" s="45">
        <v>91876.27</v>
      </c>
      <c r="I5" s="45">
        <f>H5*1.18</f>
        <v>108413.99860000001</v>
      </c>
      <c r="J5" s="17"/>
      <c r="K5" s="17"/>
      <c r="L5" s="57">
        <v>389891.8</v>
      </c>
      <c r="M5" s="57">
        <f>L5*1.18</f>
        <v>460072.32399999996</v>
      </c>
      <c r="N5" s="54">
        <v>515521.23</v>
      </c>
      <c r="O5" s="54">
        <f>N5*1.18</f>
        <v>608315.0514</v>
      </c>
      <c r="P5" s="49">
        <v>107152.12</v>
      </c>
      <c r="Q5" s="49">
        <f>P5*1.18</f>
        <v>126439.50159999999</v>
      </c>
      <c r="R5" s="51">
        <v>97441.13</v>
      </c>
      <c r="S5" s="51">
        <f>R5*1.18</f>
        <v>114980.5334</v>
      </c>
      <c r="T5" s="45">
        <v>5613.31</v>
      </c>
      <c r="U5" s="45">
        <f>T5*1.18</f>
        <v>6623.7057999999997</v>
      </c>
      <c r="V5" s="57"/>
      <c r="W5" s="57"/>
      <c r="X5" s="17"/>
      <c r="Y5" s="17"/>
    </row>
    <row r="6" spans="1:25" x14ac:dyDescent="0.25">
      <c r="A6" s="10"/>
      <c r="B6" s="11" t="s">
        <v>119</v>
      </c>
      <c r="C6" s="10" t="s">
        <v>37</v>
      </c>
      <c r="D6" s="12">
        <f t="shared" si="0"/>
        <v>3359716.63</v>
      </c>
      <c r="E6" s="12">
        <f t="shared" si="1"/>
        <v>3964465.6233999999</v>
      </c>
      <c r="F6" s="14"/>
      <c r="G6" s="14"/>
      <c r="H6" s="45"/>
      <c r="I6" s="45"/>
      <c r="J6" s="17">
        <v>469179.24</v>
      </c>
      <c r="K6" s="17">
        <f>J6*1.18</f>
        <v>553631.50319999992</v>
      </c>
      <c r="L6" s="57"/>
      <c r="M6" s="57"/>
      <c r="N6" s="54"/>
      <c r="O6" s="54"/>
      <c r="P6" s="49"/>
      <c r="Q6" s="63"/>
      <c r="R6" s="51">
        <v>1588093.61</v>
      </c>
      <c r="S6" s="51">
        <f>R6*1.18</f>
        <v>1873950.4598000001</v>
      </c>
      <c r="T6" s="45">
        <v>1302443.78</v>
      </c>
      <c r="U6" s="45">
        <f>T6*1.18</f>
        <v>1536883.6603999999</v>
      </c>
      <c r="V6" s="57"/>
      <c r="W6" s="57"/>
      <c r="X6" s="17"/>
      <c r="Y6" s="17"/>
    </row>
    <row r="7" spans="1:25" ht="30" x14ac:dyDescent="0.25">
      <c r="A7" s="10"/>
      <c r="B7" s="11" t="s">
        <v>134</v>
      </c>
      <c r="C7" s="10"/>
      <c r="D7" s="12">
        <f t="shared" si="0"/>
        <v>879702.28</v>
      </c>
      <c r="E7" s="12">
        <f t="shared" si="1"/>
        <v>1038048.6904</v>
      </c>
      <c r="F7" s="14"/>
      <c r="G7" s="14"/>
      <c r="H7" s="45"/>
      <c r="I7" s="45"/>
      <c r="J7" s="17"/>
      <c r="K7" s="17"/>
      <c r="L7" s="57"/>
      <c r="M7" s="57"/>
      <c r="N7" s="54"/>
      <c r="O7" s="54"/>
      <c r="P7" s="49">
        <v>879702.28</v>
      </c>
      <c r="Q7" s="49">
        <f>P7*1.18</f>
        <v>1038048.6904</v>
      </c>
      <c r="R7" s="51"/>
      <c r="S7" s="51"/>
      <c r="T7" s="45"/>
      <c r="U7" s="45"/>
      <c r="V7" s="57"/>
      <c r="W7" s="57"/>
      <c r="X7" s="17"/>
      <c r="Y7" s="17"/>
    </row>
    <row r="8" spans="1:25" x14ac:dyDescent="0.25">
      <c r="A8" s="10"/>
      <c r="B8" s="11" t="s">
        <v>63</v>
      </c>
      <c r="C8" s="10"/>
      <c r="D8" s="12">
        <f t="shared" si="0"/>
        <v>2913067.8</v>
      </c>
      <c r="E8" s="12">
        <f t="shared" si="1"/>
        <v>3437420.0039999997</v>
      </c>
      <c r="F8" s="14"/>
      <c r="G8" s="14"/>
      <c r="H8" s="45"/>
      <c r="I8" s="45"/>
      <c r="J8" s="17"/>
      <c r="K8" s="17"/>
      <c r="L8" s="57"/>
      <c r="M8" s="57"/>
      <c r="N8" s="54"/>
      <c r="O8" s="54"/>
      <c r="P8" s="49">
        <v>1025598.29</v>
      </c>
      <c r="Q8" s="49">
        <f>P8*1.18</f>
        <v>1210205.9822</v>
      </c>
      <c r="R8" s="51">
        <v>1100804.54</v>
      </c>
      <c r="S8" s="51">
        <f>R8*1.18</f>
        <v>1298949.3572</v>
      </c>
      <c r="T8" s="45">
        <v>786664.97</v>
      </c>
      <c r="U8" s="45">
        <f>T8*1.18</f>
        <v>928264.6645999999</v>
      </c>
      <c r="V8" s="57"/>
      <c r="W8" s="57"/>
      <c r="X8" s="17"/>
      <c r="Y8" s="17"/>
    </row>
    <row r="9" spans="1:25" x14ac:dyDescent="0.25">
      <c r="A9" s="10"/>
      <c r="B9" s="11" t="s">
        <v>146</v>
      </c>
      <c r="C9" s="10"/>
      <c r="D9" s="12">
        <f t="shared" si="0"/>
        <v>186391.05</v>
      </c>
      <c r="E9" s="12">
        <f t="shared" si="1"/>
        <v>219941.43899999998</v>
      </c>
      <c r="F9" s="14"/>
      <c r="G9" s="14"/>
      <c r="H9" s="45"/>
      <c r="I9" s="45"/>
      <c r="J9" s="17"/>
      <c r="K9" s="17"/>
      <c r="L9" s="57"/>
      <c r="M9" s="57"/>
      <c r="N9" s="54"/>
      <c r="O9" s="54"/>
      <c r="P9" s="49"/>
      <c r="Q9" s="49"/>
      <c r="R9" s="51"/>
      <c r="S9" s="51"/>
      <c r="T9" s="45">
        <v>186391.05</v>
      </c>
      <c r="U9" s="45">
        <f>T9*1.18</f>
        <v>219941.43899999998</v>
      </c>
      <c r="V9" s="57"/>
      <c r="W9" s="57"/>
      <c r="X9" s="17"/>
      <c r="Y9" s="17"/>
    </row>
    <row r="10" spans="1:25" x14ac:dyDescent="0.25">
      <c r="A10" s="10"/>
      <c r="B10" s="11" t="s">
        <v>129</v>
      </c>
      <c r="C10" s="10"/>
      <c r="D10" s="12">
        <f t="shared" si="0"/>
        <v>26949.33</v>
      </c>
      <c r="E10" s="12">
        <f t="shared" si="1"/>
        <v>31800.2094</v>
      </c>
      <c r="F10" s="14"/>
      <c r="G10" s="14"/>
      <c r="H10" s="45"/>
      <c r="I10" s="45"/>
      <c r="J10" s="17"/>
      <c r="K10" s="17"/>
      <c r="L10" s="57"/>
      <c r="M10" s="57"/>
      <c r="N10" s="54"/>
      <c r="O10" s="54"/>
      <c r="P10" s="49"/>
      <c r="Q10" s="49"/>
      <c r="R10" s="51"/>
      <c r="S10" s="51"/>
      <c r="T10" s="45">
        <v>26949.33</v>
      </c>
      <c r="U10" s="45">
        <f>T10*1.18</f>
        <v>31800.2094</v>
      </c>
      <c r="V10" s="57"/>
      <c r="W10" s="57"/>
      <c r="X10" s="17"/>
      <c r="Y10" s="17"/>
    </row>
    <row r="11" spans="1:25" x14ac:dyDescent="0.25">
      <c r="A11" s="10"/>
      <c r="B11" s="11" t="s">
        <v>152</v>
      </c>
      <c r="C11" s="10"/>
      <c r="D11" s="12">
        <f t="shared" si="0"/>
        <v>387355.14</v>
      </c>
      <c r="E11" s="12">
        <f t="shared" si="1"/>
        <v>457079.06520000001</v>
      </c>
      <c r="F11" s="14"/>
      <c r="G11" s="14"/>
      <c r="H11" s="45"/>
      <c r="I11" s="45"/>
      <c r="J11" s="17"/>
      <c r="K11" s="17"/>
      <c r="L11" s="57"/>
      <c r="M11" s="57"/>
      <c r="N11" s="54"/>
      <c r="O11" s="54"/>
      <c r="P11" s="49"/>
      <c r="Q11" s="49"/>
      <c r="R11" s="51"/>
      <c r="S11" s="51"/>
      <c r="T11" s="45"/>
      <c r="U11" s="45"/>
      <c r="V11" s="57">
        <v>387355.14</v>
      </c>
      <c r="W11" s="57">
        <f>V11*1.18</f>
        <v>457079.06520000001</v>
      </c>
      <c r="X11" s="17"/>
      <c r="Y11" s="17"/>
    </row>
    <row r="12" spans="1:25" x14ac:dyDescent="0.25">
      <c r="A12" s="10"/>
      <c r="B12" s="11" t="s">
        <v>127</v>
      </c>
      <c r="C12" s="10"/>
      <c r="D12" s="12">
        <f t="shared" si="0"/>
        <v>692822.77</v>
      </c>
      <c r="E12" s="12">
        <f t="shared" si="1"/>
        <v>817530.86859999993</v>
      </c>
      <c r="F12" s="14"/>
      <c r="G12" s="14"/>
      <c r="H12" s="45"/>
      <c r="I12" s="45"/>
      <c r="J12" s="17"/>
      <c r="K12" s="17"/>
      <c r="L12" s="57"/>
      <c r="M12" s="57"/>
      <c r="N12" s="54"/>
      <c r="O12" s="54"/>
      <c r="P12" s="49"/>
      <c r="Q12" s="49"/>
      <c r="R12" s="51"/>
      <c r="S12" s="51"/>
      <c r="T12" s="45"/>
      <c r="U12" s="45"/>
      <c r="V12" s="57">
        <v>692822.77</v>
      </c>
      <c r="W12" s="57">
        <f>V12*1.18</f>
        <v>817530.86859999993</v>
      </c>
      <c r="X12" s="17"/>
      <c r="Y12" s="17"/>
    </row>
    <row r="13" spans="1:25" x14ac:dyDescent="0.25">
      <c r="A13" s="10"/>
      <c r="B13" s="10" t="s">
        <v>131</v>
      </c>
      <c r="C13" s="10"/>
      <c r="D13" s="12">
        <f t="shared" si="0"/>
        <v>2501507.08</v>
      </c>
      <c r="E13" s="12">
        <f t="shared" si="1"/>
        <v>2951778.3544000001</v>
      </c>
      <c r="F13" s="14"/>
      <c r="G13" s="14"/>
      <c r="H13" s="45"/>
      <c r="I13" s="45"/>
      <c r="J13" s="17"/>
      <c r="K13" s="17"/>
      <c r="L13" s="57"/>
      <c r="M13" s="57"/>
      <c r="N13" s="54"/>
      <c r="O13" s="54"/>
      <c r="P13" s="49"/>
      <c r="Q13" s="49"/>
      <c r="R13" s="51"/>
      <c r="S13" s="51"/>
      <c r="T13" s="45"/>
      <c r="U13" s="45"/>
      <c r="V13" s="57">
        <v>2501507.08</v>
      </c>
      <c r="W13" s="57">
        <f>V13*1.18</f>
        <v>2951778.3544000001</v>
      </c>
      <c r="X13" s="17"/>
      <c r="Y13" s="17"/>
    </row>
    <row r="14" spans="1:25" s="6" customFormat="1" ht="60" x14ac:dyDescent="0.25">
      <c r="A14" s="9"/>
      <c r="B14" s="22" t="s">
        <v>114</v>
      </c>
      <c r="C14" s="9"/>
      <c r="D14" s="12">
        <f t="shared" si="0"/>
        <v>0</v>
      </c>
      <c r="E14" s="12">
        <f t="shared" si="1"/>
        <v>0</v>
      </c>
      <c r="F14" s="15"/>
      <c r="G14" s="15"/>
      <c r="H14" s="46"/>
      <c r="I14" s="46"/>
      <c r="J14" s="18"/>
      <c r="K14" s="18"/>
      <c r="L14" s="58"/>
      <c r="M14" s="58"/>
      <c r="N14" s="55"/>
      <c r="O14" s="55"/>
      <c r="P14" s="50"/>
      <c r="Q14" s="48"/>
      <c r="R14" s="52"/>
      <c r="S14" s="52"/>
      <c r="T14" s="46"/>
      <c r="U14" s="46"/>
      <c r="V14" s="58"/>
      <c r="W14" s="58"/>
      <c r="X14" s="18"/>
      <c r="Y14" s="18"/>
    </row>
    <row r="15" spans="1:25" s="42" customFormat="1" x14ac:dyDescent="0.25">
      <c r="A15" s="41"/>
      <c r="B15" s="64" t="s">
        <v>62</v>
      </c>
      <c r="C15" s="41"/>
      <c r="D15" s="12">
        <f t="shared" si="0"/>
        <v>610379.82999999996</v>
      </c>
      <c r="E15" s="12">
        <f t="shared" si="1"/>
        <v>720248.19939999992</v>
      </c>
      <c r="F15" s="59"/>
      <c r="G15" s="59"/>
      <c r="H15" s="60"/>
      <c r="I15" s="60"/>
      <c r="J15" s="61"/>
      <c r="K15" s="61"/>
      <c r="L15" s="62"/>
      <c r="M15" s="62"/>
      <c r="N15" s="65"/>
      <c r="O15" s="65"/>
      <c r="P15" s="66"/>
      <c r="Q15" s="67"/>
      <c r="R15" s="68"/>
      <c r="S15" s="68"/>
      <c r="T15" s="60">
        <v>610379.82999999996</v>
      </c>
      <c r="U15" s="45">
        <f>T15*1.18</f>
        <v>720248.19939999992</v>
      </c>
      <c r="V15" s="62"/>
      <c r="W15" s="62"/>
      <c r="X15" s="61"/>
      <c r="Y15" s="61"/>
    </row>
    <row r="16" spans="1:25" x14ac:dyDescent="0.25">
      <c r="A16" s="10"/>
      <c r="B16" s="11" t="s">
        <v>63</v>
      </c>
      <c r="C16" s="10" t="s">
        <v>115</v>
      </c>
      <c r="D16" s="12">
        <f t="shared" si="0"/>
        <v>67270.23</v>
      </c>
      <c r="E16" s="12">
        <f t="shared" si="1"/>
        <v>79378.871400000004</v>
      </c>
      <c r="F16" s="14"/>
      <c r="G16" s="14"/>
      <c r="H16" s="45">
        <v>47362.83</v>
      </c>
      <c r="I16" s="45">
        <f>H16*1.18</f>
        <v>55888.1394</v>
      </c>
      <c r="J16" s="17">
        <v>11367.96</v>
      </c>
      <c r="K16" s="17">
        <f>J16*1.18</f>
        <v>13414.192799999999</v>
      </c>
      <c r="L16" s="57"/>
      <c r="M16" s="57"/>
      <c r="N16" s="54"/>
      <c r="O16" s="54"/>
      <c r="P16" s="49"/>
      <c r="Q16" s="63"/>
      <c r="R16" s="51">
        <v>8539.44</v>
      </c>
      <c r="S16" s="51">
        <f>R16*1.18</f>
        <v>10076.539199999999</v>
      </c>
      <c r="T16" s="45"/>
      <c r="U16" s="45"/>
      <c r="V16" s="57"/>
      <c r="W16" s="57"/>
      <c r="X16" s="17"/>
      <c r="Y16" s="17"/>
    </row>
    <row r="17" spans="1:25" x14ac:dyDescent="0.25">
      <c r="A17" s="10"/>
      <c r="B17" s="11" t="s">
        <v>125</v>
      </c>
      <c r="C17" s="10"/>
      <c r="D17" s="12">
        <f t="shared" si="0"/>
        <v>0</v>
      </c>
      <c r="E17" s="12">
        <f t="shared" si="1"/>
        <v>0</v>
      </c>
      <c r="F17" s="14"/>
      <c r="G17" s="14"/>
      <c r="H17" s="45"/>
      <c r="I17" s="45"/>
      <c r="J17" s="17"/>
      <c r="K17" s="17"/>
      <c r="L17" s="57">
        <v>342653.14</v>
      </c>
      <c r="M17" s="57">
        <f>L17*1.18</f>
        <v>404330.70519999997</v>
      </c>
      <c r="N17" s="54"/>
      <c r="O17" s="54"/>
      <c r="P17" s="49">
        <v>-342653.14</v>
      </c>
      <c r="Q17" s="49">
        <f>P17*1.18</f>
        <v>-404330.70519999997</v>
      </c>
      <c r="R17" s="51"/>
      <c r="S17" s="51"/>
      <c r="T17" s="45"/>
      <c r="U17" s="45"/>
      <c r="V17" s="57"/>
      <c r="W17" s="57"/>
      <c r="X17" s="17"/>
      <c r="Y17" s="17"/>
    </row>
    <row r="18" spans="1:25" x14ac:dyDescent="0.25">
      <c r="A18" s="10"/>
      <c r="B18" s="11" t="s">
        <v>125</v>
      </c>
      <c r="C18" s="10"/>
      <c r="D18" s="12">
        <f t="shared" si="0"/>
        <v>0</v>
      </c>
      <c r="E18" s="12">
        <f t="shared" si="1"/>
        <v>0</v>
      </c>
      <c r="F18" s="14"/>
      <c r="G18" s="14"/>
      <c r="H18" s="45"/>
      <c r="I18" s="45"/>
      <c r="J18" s="17"/>
      <c r="K18" s="17"/>
      <c r="L18" s="57"/>
      <c r="M18" s="57"/>
      <c r="N18" s="54"/>
      <c r="O18" s="54"/>
      <c r="P18" s="49"/>
      <c r="Q18" s="63"/>
      <c r="R18" s="51"/>
      <c r="S18" s="51"/>
      <c r="T18" s="45"/>
      <c r="U18" s="45"/>
      <c r="V18" s="57"/>
      <c r="W18" s="57"/>
      <c r="X18" s="17"/>
      <c r="Y18" s="17"/>
    </row>
    <row r="19" spans="1:25" x14ac:dyDescent="0.25">
      <c r="A19" s="10"/>
      <c r="B19" s="11" t="s">
        <v>116</v>
      </c>
      <c r="C19" s="10" t="s">
        <v>117</v>
      </c>
      <c r="D19" s="12">
        <f t="shared" si="0"/>
        <v>1684698.82</v>
      </c>
      <c r="E19" s="12">
        <f t="shared" si="1"/>
        <v>1987944.6075999998</v>
      </c>
      <c r="F19" s="14"/>
      <c r="G19" s="14"/>
      <c r="H19" s="45">
        <v>636148.72</v>
      </c>
      <c r="I19" s="45">
        <f>H19*1.18</f>
        <v>750655.48959999997</v>
      </c>
      <c r="J19" s="17">
        <v>874822.09</v>
      </c>
      <c r="K19" s="17">
        <f>J19*1.18</f>
        <v>1032290.0661999999</v>
      </c>
      <c r="L19" s="57">
        <v>122978.87</v>
      </c>
      <c r="M19" s="57">
        <f>L19*1.18</f>
        <v>145115.06659999999</v>
      </c>
      <c r="N19" s="54"/>
      <c r="O19" s="54"/>
      <c r="P19" s="49"/>
      <c r="Q19" s="63"/>
      <c r="R19" s="51">
        <v>50749.14</v>
      </c>
      <c r="S19" s="51">
        <f>R19*1.18</f>
        <v>59883.985199999996</v>
      </c>
      <c r="T19" s="45"/>
      <c r="U19" s="45"/>
      <c r="V19" s="57"/>
      <c r="W19" s="57"/>
      <c r="X19" s="17"/>
      <c r="Y19" s="17"/>
    </row>
    <row r="20" spans="1:25" x14ac:dyDescent="0.25">
      <c r="A20" s="10"/>
      <c r="B20" s="11" t="s">
        <v>121</v>
      </c>
      <c r="C20" s="10" t="s">
        <v>126</v>
      </c>
      <c r="D20" s="12">
        <f t="shared" si="0"/>
        <v>860142.48</v>
      </c>
      <c r="E20" s="12">
        <f t="shared" si="1"/>
        <v>1014968.1264</v>
      </c>
      <c r="F20" s="14"/>
      <c r="G20" s="14"/>
      <c r="H20" s="45"/>
      <c r="I20" s="45"/>
      <c r="J20" s="17"/>
      <c r="K20" s="17"/>
      <c r="L20" s="57">
        <v>137171.92000000001</v>
      </c>
      <c r="M20" s="57">
        <f>L20*1.18</f>
        <v>161862.86560000002</v>
      </c>
      <c r="N20" s="54">
        <v>481978.58</v>
      </c>
      <c r="O20" s="54">
        <f>N20*1.18</f>
        <v>568734.72439999995</v>
      </c>
      <c r="P20" s="49">
        <v>-385171.25</v>
      </c>
      <c r="Q20" s="49">
        <f>P20*1.18</f>
        <v>-454502.07499999995</v>
      </c>
      <c r="R20" s="51">
        <v>82872.7</v>
      </c>
      <c r="S20" s="51">
        <f>R20*1.18</f>
        <v>97789.785999999993</v>
      </c>
      <c r="T20" s="45">
        <v>543290.53</v>
      </c>
      <c r="U20" s="45">
        <f>T20*1.18</f>
        <v>641082.82539999997</v>
      </c>
      <c r="V20" s="57"/>
      <c r="W20" s="57"/>
      <c r="X20" s="17"/>
      <c r="Y20" s="17"/>
    </row>
    <row r="21" spans="1:25" x14ac:dyDescent="0.25">
      <c r="A21" s="10"/>
      <c r="B21" s="11" t="s">
        <v>127</v>
      </c>
      <c r="C21" s="10" t="s">
        <v>122</v>
      </c>
      <c r="D21" s="12">
        <f t="shared" si="0"/>
        <v>532588.73</v>
      </c>
      <c r="E21" s="12">
        <f t="shared" si="1"/>
        <v>628454.7013999999</v>
      </c>
      <c r="F21" s="14"/>
      <c r="G21" s="14"/>
      <c r="H21" s="45"/>
      <c r="I21" s="45"/>
      <c r="J21" s="17"/>
      <c r="K21" s="17"/>
      <c r="L21" s="57">
        <v>20860.990000000002</v>
      </c>
      <c r="M21" s="57">
        <f>L21*1.18</f>
        <v>24615.968199999999</v>
      </c>
      <c r="N21" s="54">
        <v>178694.48</v>
      </c>
      <c r="O21" s="54">
        <f>N21*1.18</f>
        <v>210859.48639999999</v>
      </c>
      <c r="P21" s="49"/>
      <c r="Q21" s="63"/>
      <c r="R21" s="51">
        <v>72355.98</v>
      </c>
      <c r="S21" s="51">
        <f>R21*1.18</f>
        <v>85380.056399999987</v>
      </c>
      <c r="T21" s="45">
        <v>260677.28</v>
      </c>
      <c r="U21" s="45">
        <f>T21*1.18</f>
        <v>307599.19039999996</v>
      </c>
      <c r="V21" s="57"/>
      <c r="W21" s="57"/>
      <c r="X21" s="17"/>
      <c r="Y21" s="17"/>
    </row>
    <row r="22" spans="1:25" x14ac:dyDescent="0.25">
      <c r="A22" s="10"/>
      <c r="B22" s="11" t="s">
        <v>123</v>
      </c>
      <c r="C22" s="10" t="s">
        <v>124</v>
      </c>
      <c r="D22" s="12">
        <f t="shared" si="0"/>
        <v>212757.7</v>
      </c>
      <c r="E22" s="12">
        <f t="shared" si="1"/>
        <v>251054.08599999998</v>
      </c>
      <c r="F22" s="14"/>
      <c r="G22" s="14"/>
      <c r="H22" s="45"/>
      <c r="I22" s="45"/>
      <c r="J22" s="17"/>
      <c r="K22" s="17"/>
      <c r="L22" s="57">
        <v>56223.7</v>
      </c>
      <c r="M22" s="57">
        <f>L22*1.18</f>
        <v>66343.965999999986</v>
      </c>
      <c r="N22" s="54">
        <v>37864.980000000003</v>
      </c>
      <c r="O22" s="54">
        <f>N22*1.18</f>
        <v>44680.676400000004</v>
      </c>
      <c r="P22" s="49"/>
      <c r="Q22" s="63"/>
      <c r="R22" s="51"/>
      <c r="S22" s="51"/>
      <c r="T22" s="45">
        <v>118669.02</v>
      </c>
      <c r="U22" s="45">
        <f>T22*1.18</f>
        <v>140029.4436</v>
      </c>
      <c r="V22" s="57"/>
      <c r="W22" s="57"/>
      <c r="X22" s="17"/>
      <c r="Y22" s="17"/>
    </row>
    <row r="23" spans="1:25" x14ac:dyDescent="0.25">
      <c r="A23" s="10"/>
      <c r="B23" s="11" t="s">
        <v>129</v>
      </c>
      <c r="C23" s="10" t="s">
        <v>130</v>
      </c>
      <c r="D23" s="12">
        <f t="shared" si="0"/>
        <v>312310.12999999995</v>
      </c>
      <c r="E23" s="12">
        <f t="shared" si="1"/>
        <v>368525.95339999994</v>
      </c>
      <c r="F23" s="14"/>
      <c r="G23" s="14"/>
      <c r="H23" s="45"/>
      <c r="I23" s="45"/>
      <c r="J23" s="17"/>
      <c r="K23" s="17"/>
      <c r="L23" s="57"/>
      <c r="M23" s="57"/>
      <c r="N23" s="54">
        <v>295576.06</v>
      </c>
      <c r="O23" s="54">
        <f>N23*1.18</f>
        <v>348779.75079999998</v>
      </c>
      <c r="P23" s="49"/>
      <c r="Q23" s="63"/>
      <c r="R23" s="51">
        <v>123052.9</v>
      </c>
      <c r="S23" s="51">
        <f>R23*1.18</f>
        <v>145202.42199999999</v>
      </c>
      <c r="T23" s="45">
        <v>-106318.83</v>
      </c>
      <c r="U23" s="45">
        <f>T23*1.18</f>
        <v>-125456.2194</v>
      </c>
      <c r="V23" s="57"/>
      <c r="W23" s="57"/>
      <c r="X23" s="17"/>
      <c r="Y23" s="17"/>
    </row>
    <row r="24" spans="1:25" x14ac:dyDescent="0.25">
      <c r="A24" s="10"/>
      <c r="B24" s="11" t="s">
        <v>131</v>
      </c>
      <c r="C24" s="10" t="s">
        <v>132</v>
      </c>
      <c r="D24" s="12">
        <f t="shared" si="0"/>
        <v>1280420.1100000001</v>
      </c>
      <c r="E24" s="12">
        <f t="shared" si="1"/>
        <v>1510895.7297999999</v>
      </c>
      <c r="F24" s="14"/>
      <c r="G24" s="14"/>
      <c r="H24" s="45"/>
      <c r="I24" s="45"/>
      <c r="J24" s="17"/>
      <c r="K24" s="17"/>
      <c r="L24" s="57"/>
      <c r="M24" s="57"/>
      <c r="N24" s="54">
        <v>128988.57</v>
      </c>
      <c r="O24" s="54">
        <f>N24*1.18</f>
        <v>152206.51259999999</v>
      </c>
      <c r="P24" s="49">
        <v>1155942.28</v>
      </c>
      <c r="Q24" s="49">
        <f>P24*1.18</f>
        <v>1364011.8903999999</v>
      </c>
      <c r="R24" s="51">
        <v>-4510.74</v>
      </c>
      <c r="S24" s="51">
        <f>R24*1.18</f>
        <v>-5322.6731999999993</v>
      </c>
      <c r="T24" s="45"/>
      <c r="U24" s="45"/>
      <c r="V24" s="57"/>
      <c r="W24" s="57"/>
      <c r="X24" s="17"/>
      <c r="Y24" s="17"/>
    </row>
    <row r="25" spans="1:25" x14ac:dyDescent="0.25">
      <c r="A25" s="10"/>
      <c r="B25" s="11" t="s">
        <v>79</v>
      </c>
      <c r="C25" s="10"/>
      <c r="D25" s="12">
        <f t="shared" si="0"/>
        <v>564441.1</v>
      </c>
      <c r="E25" s="12">
        <f t="shared" si="1"/>
        <v>666040.49799999991</v>
      </c>
      <c r="F25" s="14"/>
      <c r="G25" s="14"/>
      <c r="H25" s="45"/>
      <c r="I25" s="45"/>
      <c r="J25" s="17"/>
      <c r="K25" s="17"/>
      <c r="L25" s="57"/>
      <c r="M25" s="57"/>
      <c r="N25" s="54"/>
      <c r="O25" s="54"/>
      <c r="P25" s="49">
        <v>564441.1</v>
      </c>
      <c r="Q25" s="49">
        <f>P25*1.18</f>
        <v>666040.49799999991</v>
      </c>
      <c r="R25" s="51"/>
      <c r="S25" s="51"/>
      <c r="T25" s="45"/>
      <c r="U25" s="45"/>
      <c r="V25" s="57"/>
      <c r="W25" s="57"/>
      <c r="X25" s="17"/>
      <c r="Y25" s="17"/>
    </row>
    <row r="26" spans="1:25" x14ac:dyDescent="0.25">
      <c r="A26" s="10"/>
      <c r="B26" s="11" t="s">
        <v>79</v>
      </c>
      <c r="C26" s="10"/>
      <c r="D26" s="12">
        <f t="shared" si="0"/>
        <v>1992822.44</v>
      </c>
      <c r="E26" s="12">
        <f t="shared" si="1"/>
        <v>2351530.4791999999</v>
      </c>
      <c r="F26" s="14"/>
      <c r="G26" s="14"/>
      <c r="H26" s="45"/>
      <c r="I26" s="45"/>
      <c r="J26" s="17"/>
      <c r="K26" s="17"/>
      <c r="L26" s="57"/>
      <c r="M26" s="57"/>
      <c r="N26" s="54"/>
      <c r="O26" s="54"/>
      <c r="P26" s="49">
        <v>1958210.89</v>
      </c>
      <c r="Q26" s="49">
        <f>P26*1.18</f>
        <v>2310688.8501999998</v>
      </c>
      <c r="R26" s="51"/>
      <c r="S26" s="51"/>
      <c r="T26" s="45">
        <v>34611.550000000003</v>
      </c>
      <c r="U26" s="45">
        <f t="shared" ref="U26:U32" si="2">T26*1.18</f>
        <v>40841.629000000001</v>
      </c>
      <c r="V26" s="57"/>
      <c r="W26" s="57"/>
      <c r="X26" s="17"/>
      <c r="Y26" s="17"/>
    </row>
    <row r="27" spans="1:25" x14ac:dyDescent="0.25">
      <c r="A27" s="10"/>
      <c r="B27" s="11" t="s">
        <v>140</v>
      </c>
      <c r="C27" s="10" t="s">
        <v>144</v>
      </c>
      <c r="D27" s="12">
        <f t="shared" si="0"/>
        <v>610797.38</v>
      </c>
      <c r="E27" s="12">
        <f t="shared" si="1"/>
        <v>720740.90840000007</v>
      </c>
      <c r="F27" s="14"/>
      <c r="G27" s="14"/>
      <c r="H27" s="45"/>
      <c r="I27" s="45"/>
      <c r="J27" s="17"/>
      <c r="K27" s="17"/>
      <c r="L27" s="57"/>
      <c r="M27" s="57"/>
      <c r="N27" s="54"/>
      <c r="O27" s="54"/>
      <c r="P27" s="49"/>
      <c r="Q27" s="49"/>
      <c r="R27" s="51">
        <v>201644.29</v>
      </c>
      <c r="S27" s="51">
        <f>R27*1.18</f>
        <v>237940.2622</v>
      </c>
      <c r="T27" s="45">
        <v>409153.09</v>
      </c>
      <c r="U27" s="45">
        <f t="shared" si="2"/>
        <v>482800.64620000002</v>
      </c>
      <c r="V27" s="57"/>
      <c r="W27" s="57"/>
      <c r="X27" s="17"/>
      <c r="Y27" s="17"/>
    </row>
    <row r="28" spans="1:25" x14ac:dyDescent="0.25">
      <c r="A28" s="10"/>
      <c r="B28" s="11" t="s">
        <v>141</v>
      </c>
      <c r="C28" s="10" t="s">
        <v>143</v>
      </c>
      <c r="D28" s="12">
        <f t="shared" si="0"/>
        <v>266430.31999999995</v>
      </c>
      <c r="E28" s="12">
        <f t="shared" si="1"/>
        <v>314387.77759999997</v>
      </c>
      <c r="F28" s="14"/>
      <c r="G28" s="14"/>
      <c r="H28" s="45"/>
      <c r="I28" s="45"/>
      <c r="J28" s="17"/>
      <c r="K28" s="17"/>
      <c r="L28" s="57"/>
      <c r="M28" s="57"/>
      <c r="N28" s="54"/>
      <c r="O28" s="54"/>
      <c r="P28" s="49"/>
      <c r="Q28" s="49"/>
      <c r="R28" s="51">
        <v>133223.24</v>
      </c>
      <c r="S28" s="51">
        <f>R28*1.18</f>
        <v>157203.42319999999</v>
      </c>
      <c r="T28" s="45">
        <v>133207.07999999999</v>
      </c>
      <c r="U28" s="45">
        <f t="shared" si="2"/>
        <v>157184.35439999998</v>
      </c>
      <c r="V28" s="57"/>
      <c r="W28" s="57"/>
      <c r="X28" s="17"/>
      <c r="Y28" s="17"/>
    </row>
    <row r="29" spans="1:25" x14ac:dyDescent="0.25">
      <c r="A29" s="10"/>
      <c r="B29" s="11" t="s">
        <v>146</v>
      </c>
      <c r="C29" s="10"/>
      <c r="D29" s="12">
        <f t="shared" si="0"/>
        <v>178205.04</v>
      </c>
      <c r="E29" s="12">
        <f t="shared" si="1"/>
        <v>210281.9472</v>
      </c>
      <c r="F29" s="14"/>
      <c r="G29" s="14"/>
      <c r="H29" s="45"/>
      <c r="I29" s="45"/>
      <c r="J29" s="17"/>
      <c r="K29" s="17"/>
      <c r="L29" s="57"/>
      <c r="M29" s="57"/>
      <c r="N29" s="54"/>
      <c r="O29" s="54"/>
      <c r="P29" s="49"/>
      <c r="Q29" s="49"/>
      <c r="R29" s="51"/>
      <c r="S29" s="51"/>
      <c r="T29" s="45">
        <v>178205.04</v>
      </c>
      <c r="U29" s="45">
        <f t="shared" si="2"/>
        <v>210281.9472</v>
      </c>
      <c r="V29" s="57"/>
      <c r="W29" s="57"/>
      <c r="X29" s="17"/>
      <c r="Y29" s="17"/>
    </row>
    <row r="30" spans="1:25" x14ac:dyDescent="0.25">
      <c r="A30" s="10"/>
      <c r="B30" s="11" t="s">
        <v>147</v>
      </c>
      <c r="C30" s="10" t="s">
        <v>6</v>
      </c>
      <c r="D30" s="12">
        <f t="shared" si="0"/>
        <v>422191.31000000006</v>
      </c>
      <c r="E30" s="12">
        <f t="shared" si="1"/>
        <v>498185.74579999998</v>
      </c>
      <c r="F30" s="14"/>
      <c r="G30" s="14"/>
      <c r="H30" s="45"/>
      <c r="I30" s="45"/>
      <c r="J30" s="17"/>
      <c r="K30" s="17"/>
      <c r="L30" s="57"/>
      <c r="M30" s="57"/>
      <c r="N30" s="54"/>
      <c r="O30" s="54"/>
      <c r="P30" s="49"/>
      <c r="Q30" s="49"/>
      <c r="R30" s="51"/>
      <c r="S30" s="51"/>
      <c r="T30" s="45">
        <v>290785.59000000003</v>
      </c>
      <c r="U30" s="45">
        <f t="shared" si="2"/>
        <v>343126.99619999999</v>
      </c>
      <c r="V30" s="57">
        <v>131405.72</v>
      </c>
      <c r="W30" s="57">
        <f>V30*1.18</f>
        <v>155058.74959999998</v>
      </c>
      <c r="X30" s="17"/>
      <c r="Y30" s="17"/>
    </row>
    <row r="31" spans="1:25" ht="30" x14ac:dyDescent="0.25">
      <c r="A31" s="10"/>
      <c r="B31" s="11" t="s">
        <v>148</v>
      </c>
      <c r="C31" s="10"/>
      <c r="D31" s="12">
        <f t="shared" si="0"/>
        <v>0</v>
      </c>
      <c r="E31" s="12">
        <f t="shared" si="1"/>
        <v>0</v>
      </c>
      <c r="F31" s="14"/>
      <c r="G31" s="14"/>
      <c r="H31" s="45"/>
      <c r="I31" s="45"/>
      <c r="J31" s="17"/>
      <c r="K31" s="17"/>
      <c r="L31" s="57"/>
      <c r="M31" s="57"/>
      <c r="N31" s="54"/>
      <c r="O31" s="54"/>
      <c r="P31" s="49"/>
      <c r="Q31" s="49"/>
      <c r="R31" s="51"/>
      <c r="S31" s="51"/>
      <c r="T31" s="45">
        <v>101757.48</v>
      </c>
      <c r="U31" s="45">
        <f t="shared" si="2"/>
        <v>120073.82639999999</v>
      </c>
      <c r="V31" s="57">
        <v>-101757.48</v>
      </c>
      <c r="W31" s="57">
        <f>V31*1.18</f>
        <v>-120073.82639999999</v>
      </c>
      <c r="X31" s="17"/>
      <c r="Y31" s="17"/>
    </row>
    <row r="32" spans="1:25" x14ac:dyDescent="0.25">
      <c r="A32" s="10"/>
      <c r="B32" s="11" t="s">
        <v>149</v>
      </c>
      <c r="C32" s="10" t="s">
        <v>150</v>
      </c>
      <c r="D32" s="12">
        <f t="shared" si="0"/>
        <v>132880.82</v>
      </c>
      <c r="E32" s="12">
        <f t="shared" si="1"/>
        <v>156799.3676</v>
      </c>
      <c r="F32" s="14"/>
      <c r="G32" s="14"/>
      <c r="H32" s="45"/>
      <c r="I32" s="45"/>
      <c r="J32" s="17"/>
      <c r="K32" s="17"/>
      <c r="L32" s="57"/>
      <c r="M32" s="57"/>
      <c r="N32" s="54"/>
      <c r="O32" s="54"/>
      <c r="P32" s="49"/>
      <c r="Q32" s="49"/>
      <c r="R32" s="51"/>
      <c r="S32" s="51"/>
      <c r="T32" s="45">
        <v>132880.82</v>
      </c>
      <c r="U32" s="45">
        <f t="shared" si="2"/>
        <v>156799.3676</v>
      </c>
      <c r="V32" s="57"/>
      <c r="W32" s="57"/>
      <c r="X32" s="17"/>
      <c r="Y32" s="17"/>
    </row>
    <row r="33" spans="1:25" x14ac:dyDescent="0.25">
      <c r="A33" s="10"/>
      <c r="B33" s="11" t="s">
        <v>153</v>
      </c>
      <c r="C33" s="10"/>
      <c r="D33" s="12">
        <f t="shared" si="0"/>
        <v>176384.54</v>
      </c>
      <c r="E33" s="12">
        <f t="shared" si="1"/>
        <v>208133.75719999999</v>
      </c>
      <c r="F33" s="14"/>
      <c r="G33" s="14"/>
      <c r="H33" s="45"/>
      <c r="I33" s="45"/>
      <c r="J33" s="17"/>
      <c r="K33" s="17"/>
      <c r="L33" s="57"/>
      <c r="M33" s="57"/>
      <c r="N33" s="54"/>
      <c r="O33" s="54"/>
      <c r="P33" s="49"/>
      <c r="Q33" s="49"/>
      <c r="R33" s="51"/>
      <c r="S33" s="51"/>
      <c r="T33" s="45"/>
      <c r="U33" s="45"/>
      <c r="V33" s="57">
        <v>176384.54</v>
      </c>
      <c r="W33" s="57">
        <f>V33*1.18</f>
        <v>208133.75719999999</v>
      </c>
      <c r="X33" s="17"/>
      <c r="Y33" s="17"/>
    </row>
    <row r="34" spans="1:25" s="21" customFormat="1" ht="30" x14ac:dyDescent="0.25">
      <c r="A34" s="19"/>
      <c r="B34" s="23" t="s">
        <v>109</v>
      </c>
      <c r="C34" s="19"/>
      <c r="D34" s="12">
        <f t="shared" si="0"/>
        <v>0</v>
      </c>
      <c r="E34" s="12">
        <f t="shared" si="1"/>
        <v>0</v>
      </c>
      <c r="F34" s="15"/>
      <c r="G34" s="15"/>
      <c r="H34" s="46"/>
      <c r="I34" s="46"/>
      <c r="J34" s="18"/>
      <c r="K34" s="18"/>
      <c r="L34" s="58"/>
      <c r="M34" s="57"/>
      <c r="N34" s="55"/>
      <c r="O34" s="55"/>
      <c r="P34" s="50"/>
      <c r="Q34" s="48"/>
      <c r="R34" s="52"/>
      <c r="S34" s="52"/>
      <c r="T34" s="46"/>
      <c r="U34" s="46"/>
      <c r="V34" s="58"/>
      <c r="W34" s="58"/>
      <c r="X34" s="18"/>
      <c r="Y34" s="18"/>
    </row>
    <row r="35" spans="1:25" x14ac:dyDescent="0.25">
      <c r="A35" s="10"/>
      <c r="B35" s="11" t="s">
        <v>79</v>
      </c>
      <c r="C35" s="10" t="s">
        <v>110</v>
      </c>
      <c r="D35" s="12">
        <f t="shared" si="0"/>
        <v>754007.12000000011</v>
      </c>
      <c r="E35" s="12">
        <f t="shared" si="1"/>
        <v>889728.40159999998</v>
      </c>
      <c r="F35" s="14">
        <v>514044.26</v>
      </c>
      <c r="G35" s="14">
        <f>F35*1.18</f>
        <v>606572.22679999995</v>
      </c>
      <c r="H35" s="45"/>
      <c r="I35" s="45"/>
      <c r="J35" s="17"/>
      <c r="K35" s="17"/>
      <c r="L35" s="57">
        <v>131876.54</v>
      </c>
      <c r="M35" s="57">
        <f>L35*1.18</f>
        <v>155614.31719999999</v>
      </c>
      <c r="N35" s="54"/>
      <c r="O35" s="54"/>
      <c r="P35" s="49">
        <v>20912.03</v>
      </c>
      <c r="Q35" s="49">
        <f>P35*1.18</f>
        <v>24676.195399999997</v>
      </c>
      <c r="R35" s="51"/>
      <c r="S35" s="51"/>
      <c r="T35" s="45">
        <v>87174.29</v>
      </c>
      <c r="U35" s="45">
        <f>T35*1.18</f>
        <v>102865.66219999999</v>
      </c>
      <c r="V35" s="57"/>
      <c r="W35" s="57"/>
      <c r="X35" s="17"/>
      <c r="Y35" s="17"/>
    </row>
    <row r="36" spans="1:25" x14ac:dyDescent="0.25">
      <c r="A36" s="10"/>
      <c r="B36" s="11" t="s">
        <v>135</v>
      </c>
      <c r="C36" s="10"/>
      <c r="D36" s="12">
        <f t="shared" si="0"/>
        <v>102372.88</v>
      </c>
      <c r="E36" s="12">
        <f t="shared" si="1"/>
        <v>120799.9984</v>
      </c>
      <c r="F36" s="14"/>
      <c r="G36" s="14"/>
      <c r="H36" s="45"/>
      <c r="I36" s="45"/>
      <c r="J36" s="17"/>
      <c r="K36" s="17"/>
      <c r="L36" s="57"/>
      <c r="M36" s="57"/>
      <c r="N36" s="54"/>
      <c r="O36" s="54"/>
      <c r="P36" s="49">
        <v>102372.88</v>
      </c>
      <c r="Q36" s="49">
        <f>P36*1.18</f>
        <v>120799.9984</v>
      </c>
      <c r="R36" s="51"/>
      <c r="S36" s="51"/>
      <c r="T36" s="45"/>
      <c r="U36" s="45"/>
      <c r="V36" s="57"/>
      <c r="W36" s="57"/>
      <c r="X36" s="17"/>
      <c r="Y36" s="17"/>
    </row>
    <row r="37" spans="1:25" x14ac:dyDescent="0.25">
      <c r="A37" s="10"/>
      <c r="B37" s="11" t="s">
        <v>12</v>
      </c>
      <c r="C37" s="10"/>
      <c r="D37" s="12">
        <f t="shared" si="0"/>
        <v>740998.95</v>
      </c>
      <c r="E37" s="12">
        <f t="shared" si="1"/>
        <v>874378.76099999994</v>
      </c>
      <c r="F37" s="14"/>
      <c r="G37" s="14"/>
      <c r="H37" s="45"/>
      <c r="I37" s="45"/>
      <c r="J37" s="17"/>
      <c r="K37" s="17"/>
      <c r="L37" s="57"/>
      <c r="M37" s="57"/>
      <c r="N37" s="54"/>
      <c r="O37" s="54"/>
      <c r="P37" s="49">
        <v>740998.95</v>
      </c>
      <c r="Q37" s="49">
        <f>P37*1.18</f>
        <v>874378.76099999994</v>
      </c>
      <c r="R37" s="51"/>
      <c r="S37" s="51"/>
      <c r="T37" s="45"/>
      <c r="U37" s="45"/>
      <c r="V37" s="57"/>
      <c r="W37" s="57"/>
      <c r="X37" s="17"/>
      <c r="Y37" s="17"/>
    </row>
    <row r="38" spans="1:25" x14ac:dyDescent="0.25">
      <c r="A38" s="10"/>
      <c r="B38" s="11" t="s">
        <v>136</v>
      </c>
      <c r="C38" s="10"/>
      <c r="D38" s="12">
        <f t="shared" si="0"/>
        <v>720534.87999999989</v>
      </c>
      <c r="E38" s="12">
        <f t="shared" si="1"/>
        <v>850231.15839999984</v>
      </c>
      <c r="F38" s="14"/>
      <c r="G38" s="14"/>
      <c r="H38" s="45"/>
      <c r="I38" s="45"/>
      <c r="J38" s="17"/>
      <c r="K38" s="17"/>
      <c r="L38" s="57"/>
      <c r="M38" s="57"/>
      <c r="N38" s="54"/>
      <c r="O38" s="54"/>
      <c r="P38" s="49">
        <v>546864.19999999995</v>
      </c>
      <c r="Q38" s="49">
        <f>P38*1.18</f>
        <v>645299.75599999994</v>
      </c>
      <c r="R38" s="51"/>
      <c r="S38" s="51"/>
      <c r="T38" s="45"/>
      <c r="U38" s="45"/>
      <c r="V38" s="57">
        <v>355499.13</v>
      </c>
      <c r="W38" s="57">
        <f>V38*1.18</f>
        <v>419488.97339999996</v>
      </c>
      <c r="X38" s="17">
        <v>-181828.45</v>
      </c>
      <c r="Y38" s="17">
        <f>X38*1.18</f>
        <v>-214557.571</v>
      </c>
    </row>
    <row r="39" spans="1:25" x14ac:dyDescent="0.25">
      <c r="A39" s="10"/>
      <c r="B39" s="11" t="s">
        <v>137</v>
      </c>
      <c r="C39" s="10" t="s">
        <v>17</v>
      </c>
      <c r="D39" s="12">
        <f t="shared" si="0"/>
        <v>1389912.22</v>
      </c>
      <c r="E39" s="12">
        <f t="shared" si="1"/>
        <v>1640096.4195999999</v>
      </c>
      <c r="F39" s="14"/>
      <c r="G39" s="14"/>
      <c r="H39" s="45"/>
      <c r="I39" s="45"/>
      <c r="J39" s="17"/>
      <c r="K39" s="17"/>
      <c r="L39" s="57"/>
      <c r="M39" s="57"/>
      <c r="N39" s="54"/>
      <c r="O39" s="54"/>
      <c r="P39" s="49">
        <v>747636.47</v>
      </c>
      <c r="Q39" s="49">
        <f>P39*1.18</f>
        <v>882211.0345999999</v>
      </c>
      <c r="R39" s="51"/>
      <c r="S39" s="51"/>
      <c r="T39" s="45">
        <v>642275.75</v>
      </c>
      <c r="U39" s="45">
        <f>T39*1.18</f>
        <v>757885.38500000001</v>
      </c>
      <c r="V39" s="57"/>
      <c r="W39" s="57"/>
      <c r="X39" s="17"/>
      <c r="Y39" s="17"/>
    </row>
    <row r="40" spans="1:25" x14ac:dyDescent="0.25">
      <c r="A40" s="10"/>
      <c r="B40" s="11" t="s">
        <v>142</v>
      </c>
      <c r="C40" s="10" t="s">
        <v>17</v>
      </c>
      <c r="D40" s="12">
        <f t="shared" si="0"/>
        <v>153337.1</v>
      </c>
      <c r="E40" s="12">
        <f t="shared" si="1"/>
        <v>180937.77799999999</v>
      </c>
      <c r="F40" s="14"/>
      <c r="G40" s="14"/>
      <c r="H40" s="45"/>
      <c r="I40" s="45"/>
      <c r="J40" s="17"/>
      <c r="K40" s="17"/>
      <c r="L40" s="57"/>
      <c r="M40" s="57"/>
      <c r="N40" s="54"/>
      <c r="O40" s="54"/>
      <c r="P40" s="49"/>
      <c r="Q40" s="49"/>
      <c r="R40" s="51">
        <v>153337.1</v>
      </c>
      <c r="S40" s="51">
        <f>R40*1.18</f>
        <v>180937.77799999999</v>
      </c>
      <c r="T40" s="45"/>
      <c r="U40" s="45"/>
      <c r="V40" s="57"/>
      <c r="W40" s="57"/>
      <c r="X40" s="17"/>
      <c r="Y40" s="17"/>
    </row>
    <row r="41" spans="1:25" x14ac:dyDescent="0.25">
      <c r="A41" s="10"/>
      <c r="B41" s="11" t="s">
        <v>19</v>
      </c>
      <c r="C41" s="10" t="s">
        <v>10</v>
      </c>
      <c r="D41" s="12">
        <f t="shared" si="0"/>
        <v>19374.990000000002</v>
      </c>
      <c r="E41" s="12">
        <f t="shared" si="1"/>
        <v>22862.4882</v>
      </c>
      <c r="F41" s="14"/>
      <c r="G41" s="14"/>
      <c r="H41" s="45"/>
      <c r="I41" s="45"/>
      <c r="J41" s="17"/>
      <c r="K41" s="17"/>
      <c r="L41" s="57"/>
      <c r="M41" s="57"/>
      <c r="N41" s="54"/>
      <c r="O41" s="54"/>
      <c r="P41" s="49"/>
      <c r="Q41" s="49"/>
      <c r="R41" s="51"/>
      <c r="S41" s="51"/>
      <c r="T41" s="45">
        <v>19374.990000000002</v>
      </c>
      <c r="U41" s="45">
        <f>T41*1.18</f>
        <v>22862.4882</v>
      </c>
      <c r="V41" s="57"/>
      <c r="W41" s="57"/>
      <c r="X41" s="17"/>
      <c r="Y41" s="17"/>
    </row>
    <row r="42" spans="1:25" s="6" customFormat="1" x14ac:dyDescent="0.25">
      <c r="A42" s="9"/>
      <c r="B42" s="22" t="s">
        <v>139</v>
      </c>
      <c r="C42" s="9"/>
      <c r="D42" s="12">
        <f t="shared" si="0"/>
        <v>0</v>
      </c>
      <c r="E42" s="12">
        <f t="shared" si="1"/>
        <v>0</v>
      </c>
      <c r="F42" s="15"/>
      <c r="G42" s="15"/>
      <c r="H42" s="46"/>
      <c r="I42" s="46"/>
      <c r="J42" s="18"/>
      <c r="K42" s="18"/>
      <c r="L42" s="58"/>
      <c r="M42" s="58"/>
      <c r="N42" s="55"/>
      <c r="O42" s="55"/>
      <c r="P42" s="50"/>
      <c r="Q42" s="50"/>
      <c r="R42" s="52"/>
      <c r="S42" s="52"/>
      <c r="T42" s="46"/>
      <c r="U42" s="46"/>
      <c r="V42" s="58"/>
      <c r="W42" s="58"/>
      <c r="X42" s="18"/>
      <c r="Y42" s="18"/>
    </row>
    <row r="43" spans="1:25" x14ac:dyDescent="0.25">
      <c r="A43" s="10"/>
      <c r="B43" s="11" t="s">
        <v>79</v>
      </c>
      <c r="C43" s="10"/>
      <c r="D43" s="12">
        <f t="shared" si="0"/>
        <v>113819.47</v>
      </c>
      <c r="E43" s="12">
        <f t="shared" si="1"/>
        <v>134306.97459999999</v>
      </c>
      <c r="F43" s="14"/>
      <c r="G43" s="14"/>
      <c r="H43" s="45"/>
      <c r="I43" s="45"/>
      <c r="J43" s="17"/>
      <c r="K43" s="17"/>
      <c r="L43" s="57"/>
      <c r="M43" s="57"/>
      <c r="N43" s="54"/>
      <c r="O43" s="54"/>
      <c r="P43" s="49"/>
      <c r="Q43" s="49"/>
      <c r="R43" s="51">
        <v>101143.49</v>
      </c>
      <c r="S43" s="51">
        <f>R43*1.18</f>
        <v>119349.31819999999</v>
      </c>
      <c r="T43" s="45"/>
      <c r="U43" s="45"/>
      <c r="V43" s="57">
        <v>12675.98</v>
      </c>
      <c r="W43" s="57">
        <f>V43*1.18</f>
        <v>14957.656399999998</v>
      </c>
      <c r="X43" s="17"/>
      <c r="Y43" s="17"/>
    </row>
    <row r="44" spans="1:25" ht="30" x14ac:dyDescent="0.25">
      <c r="A44" s="10"/>
      <c r="B44" s="11" t="s">
        <v>36</v>
      </c>
      <c r="C44" s="10"/>
      <c r="D44" s="12">
        <f t="shared" si="0"/>
        <v>2530708.96</v>
      </c>
      <c r="E44" s="12">
        <f t="shared" si="1"/>
        <v>2986236.5727999997</v>
      </c>
      <c r="F44" s="14"/>
      <c r="G44" s="14"/>
      <c r="H44" s="45"/>
      <c r="I44" s="45"/>
      <c r="J44" s="17"/>
      <c r="K44" s="17"/>
      <c r="L44" s="57"/>
      <c r="M44" s="57"/>
      <c r="N44" s="54"/>
      <c r="O44" s="54"/>
      <c r="P44" s="49"/>
      <c r="Q44" s="49"/>
      <c r="R44" s="51"/>
      <c r="S44" s="51"/>
      <c r="T44" s="45"/>
      <c r="U44" s="45"/>
      <c r="V44" s="57">
        <v>2530708.96</v>
      </c>
      <c r="W44" s="57">
        <f>V44*1.18</f>
        <v>2986236.5727999997</v>
      </c>
      <c r="X44" s="17"/>
      <c r="Y44" s="17"/>
    </row>
    <row r="45" spans="1:25" ht="30" x14ac:dyDescent="0.25">
      <c r="A45" s="10"/>
      <c r="B45" s="11" t="s">
        <v>154</v>
      </c>
      <c r="C45" s="10"/>
      <c r="D45" s="12">
        <f t="shared" si="0"/>
        <v>156419.98000000001</v>
      </c>
      <c r="E45" s="12">
        <f t="shared" si="1"/>
        <v>184575.57639999999</v>
      </c>
      <c r="F45" s="14"/>
      <c r="G45" s="14"/>
      <c r="H45" s="45"/>
      <c r="I45" s="45"/>
      <c r="J45" s="17"/>
      <c r="K45" s="17"/>
      <c r="L45" s="57"/>
      <c r="M45" s="57"/>
      <c r="N45" s="54"/>
      <c r="O45" s="54"/>
      <c r="P45" s="49"/>
      <c r="Q45" s="49"/>
      <c r="R45" s="51"/>
      <c r="S45" s="51"/>
      <c r="T45" s="45"/>
      <c r="U45" s="45"/>
      <c r="V45" s="57"/>
      <c r="W45" s="57"/>
      <c r="X45" s="17">
        <v>156419.98000000001</v>
      </c>
      <c r="Y45" s="17">
        <f>X45*1.18</f>
        <v>184575.57639999999</v>
      </c>
    </row>
    <row r="46" spans="1:25" ht="60" x14ac:dyDescent="0.25">
      <c r="A46" s="10"/>
      <c r="B46" s="11" t="s">
        <v>114</v>
      </c>
      <c r="C46" s="10"/>
      <c r="D46" s="12">
        <f t="shared" si="0"/>
        <v>25408.47</v>
      </c>
      <c r="E46" s="12">
        <f t="shared" si="1"/>
        <v>29981.994599999998</v>
      </c>
      <c r="F46" s="14"/>
      <c r="G46" s="14"/>
      <c r="H46" s="45"/>
      <c r="I46" s="45"/>
      <c r="J46" s="17"/>
      <c r="K46" s="17"/>
      <c r="L46" s="57"/>
      <c r="M46" s="57"/>
      <c r="N46" s="54"/>
      <c r="O46" s="54"/>
      <c r="P46" s="49"/>
      <c r="Q46" s="49"/>
      <c r="R46" s="51"/>
      <c r="S46" s="51"/>
      <c r="T46" s="45"/>
      <c r="U46" s="45"/>
      <c r="V46" s="57"/>
      <c r="W46" s="57"/>
      <c r="X46" s="17">
        <v>25408.47</v>
      </c>
      <c r="Y46" s="17">
        <f>X46*1.18</f>
        <v>29981.994599999998</v>
      </c>
    </row>
    <row r="47" spans="1:25" s="21" customFormat="1" ht="63" customHeight="1" x14ac:dyDescent="0.25">
      <c r="A47" s="19"/>
      <c r="B47" s="23" t="s">
        <v>111</v>
      </c>
      <c r="C47" s="19"/>
      <c r="D47" s="15">
        <f t="shared" ref="D47:W47" si="3">SUM(D4:D46)</f>
        <v>29877966.099999994</v>
      </c>
      <c r="E47" s="15">
        <f t="shared" si="3"/>
        <v>35255999.997999996</v>
      </c>
      <c r="F47" s="15">
        <f t="shared" si="3"/>
        <v>686463.92</v>
      </c>
      <c r="G47" s="15">
        <f t="shared" si="3"/>
        <v>810027.42559999996</v>
      </c>
      <c r="H47" s="15">
        <f t="shared" si="3"/>
        <v>775387.82</v>
      </c>
      <c r="I47" s="15">
        <f t="shared" si="3"/>
        <v>914957.62760000001</v>
      </c>
      <c r="J47" s="15">
        <f t="shared" si="3"/>
        <v>1355369.29</v>
      </c>
      <c r="K47" s="15">
        <f t="shared" si="3"/>
        <v>1599335.7621999998</v>
      </c>
      <c r="L47" s="15">
        <f t="shared" si="3"/>
        <v>1443792.8199999998</v>
      </c>
      <c r="M47" s="15">
        <f t="shared" si="3"/>
        <v>1703675.5276000001</v>
      </c>
      <c r="N47" s="15">
        <f t="shared" si="3"/>
        <v>1638623.9000000001</v>
      </c>
      <c r="O47" s="15">
        <f t="shared" si="3"/>
        <v>1933576.202</v>
      </c>
      <c r="P47" s="15">
        <f t="shared" si="3"/>
        <v>7774044.25</v>
      </c>
      <c r="Q47" s="15">
        <f t="shared" si="3"/>
        <v>9173372.2149999999</v>
      </c>
      <c r="R47" s="15">
        <f t="shared" si="3"/>
        <v>3753496.31</v>
      </c>
      <c r="S47" s="15">
        <f t="shared" si="3"/>
        <v>4429125.6457999991</v>
      </c>
      <c r="T47" s="15">
        <f t="shared" si="3"/>
        <v>5764185.9500000002</v>
      </c>
      <c r="U47" s="15">
        <f t="shared" si="3"/>
        <v>6801739.4209999982</v>
      </c>
      <c r="V47" s="15">
        <f t="shared" si="3"/>
        <v>6686601.8399999999</v>
      </c>
      <c r="W47" s="15">
        <f t="shared" si="3"/>
        <v>7890190.1711999997</v>
      </c>
      <c r="X47" s="15">
        <f>SUM(X4:X46)</f>
        <v>0</v>
      </c>
      <c r="Y47" s="15">
        <f>SUM(Y4:Y46)</f>
        <v>0</v>
      </c>
    </row>
    <row r="48" spans="1:25" x14ac:dyDescent="0.25">
      <c r="F48" s="3"/>
      <c r="G48" s="3"/>
      <c r="H48" s="3"/>
      <c r="I48" s="3"/>
      <c r="J48" s="3"/>
      <c r="K48" s="3"/>
      <c r="L48" s="3"/>
      <c r="M48" s="3"/>
    </row>
  </sheetData>
  <mergeCells count="10"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view="pageBreakPreview" zoomScale="60" workbookViewId="0">
      <selection activeCell="E28" sqref="E28"/>
    </sheetView>
  </sheetViews>
  <sheetFormatPr defaultRowHeight="15" x14ac:dyDescent="0.25"/>
  <cols>
    <col min="1" max="1" width="25.140625" customWidth="1"/>
    <col min="2" max="2" width="21" customWidth="1"/>
    <col min="3" max="3" width="24.42578125" customWidth="1"/>
    <col min="4" max="4" width="24.140625" customWidth="1"/>
    <col min="5" max="6" width="17" customWidth="1"/>
  </cols>
  <sheetData>
    <row r="1" spans="1:5" ht="78.75" x14ac:dyDescent="0.25">
      <c r="A1" s="69" t="s">
        <v>155</v>
      </c>
      <c r="B1" s="69" t="s">
        <v>156</v>
      </c>
      <c r="C1" s="69" t="s">
        <v>157</v>
      </c>
      <c r="D1" s="69" t="s">
        <v>158</v>
      </c>
    </row>
    <row r="2" spans="1:5" ht="15.75" x14ac:dyDescent="0.25">
      <c r="A2" s="100" t="s">
        <v>159</v>
      </c>
      <c r="B2" s="100"/>
      <c r="C2" s="100"/>
      <c r="D2" s="100"/>
    </row>
    <row r="3" spans="1:5" ht="15.75" x14ac:dyDescent="0.25">
      <c r="A3" s="71" t="s">
        <v>61</v>
      </c>
      <c r="B3" s="71" t="s">
        <v>107</v>
      </c>
      <c r="C3" s="70">
        <v>1724310</v>
      </c>
      <c r="D3" s="70">
        <f>1111342.16*1.18</f>
        <v>1311383.7487999999</v>
      </c>
      <c r="E3" s="3">
        <f>C3-D3</f>
        <v>412926.25120000006</v>
      </c>
    </row>
    <row r="4" spans="1:5" ht="15.75" x14ac:dyDescent="0.25">
      <c r="A4" s="71" t="s">
        <v>62</v>
      </c>
      <c r="B4" s="71" t="s">
        <v>112</v>
      </c>
      <c r="C4" s="70">
        <v>2557170</v>
      </c>
      <c r="D4" s="70">
        <f>1207495.86*1.18</f>
        <v>1424845.1148000001</v>
      </c>
      <c r="E4" s="3">
        <f t="shared" ref="E4:E44" si="0">C4-D4</f>
        <v>1132324.8851999999</v>
      </c>
    </row>
    <row r="5" spans="1:5" ht="15.75" x14ac:dyDescent="0.25">
      <c r="A5" s="71" t="s">
        <v>63</v>
      </c>
      <c r="B5" s="71" t="s">
        <v>160</v>
      </c>
      <c r="C5" s="70">
        <v>3571820</v>
      </c>
      <c r="D5" s="70">
        <f>2913067.8*1.18</f>
        <v>3437420.0039999997</v>
      </c>
      <c r="E5" s="3">
        <f t="shared" si="0"/>
        <v>134399.99600000028</v>
      </c>
    </row>
    <row r="6" spans="1:5" ht="15.75" x14ac:dyDescent="0.25">
      <c r="A6" s="71" t="s">
        <v>119</v>
      </c>
      <c r="B6" s="71" t="s">
        <v>37</v>
      </c>
      <c r="C6" s="70">
        <v>5465750</v>
      </c>
      <c r="D6" s="70">
        <f>3359716.63*1.18+879702.25*1.18</f>
        <v>5002514.2783999993</v>
      </c>
      <c r="E6" s="3">
        <f t="shared" si="0"/>
        <v>463235.72160000075</v>
      </c>
    </row>
    <row r="7" spans="1:5" ht="15.75" x14ac:dyDescent="0.25">
      <c r="A7" s="71" t="s">
        <v>129</v>
      </c>
      <c r="B7" s="71" t="s">
        <v>93</v>
      </c>
      <c r="C7" s="70">
        <v>458440</v>
      </c>
      <c r="D7" s="70">
        <f>186391.05*1.18+26949.33*1.18+387355.14*1.18</f>
        <v>708820.71360000002</v>
      </c>
      <c r="E7" s="3">
        <f t="shared" si="0"/>
        <v>-250380.71360000002</v>
      </c>
    </row>
    <row r="8" spans="1:5" ht="15.75" x14ac:dyDescent="0.25">
      <c r="A8" s="71" t="s">
        <v>127</v>
      </c>
      <c r="B8" s="71" t="s">
        <v>95</v>
      </c>
      <c r="C8" s="70">
        <v>2469830</v>
      </c>
      <c r="D8" s="70">
        <f>692822.77*1.18</f>
        <v>817530.86859999993</v>
      </c>
      <c r="E8" s="3">
        <f t="shared" si="0"/>
        <v>1652299.1314000001</v>
      </c>
    </row>
    <row r="9" spans="1:5" ht="15.75" x14ac:dyDescent="0.25">
      <c r="A9" s="71" t="s">
        <v>131</v>
      </c>
      <c r="B9" s="71" t="s">
        <v>161</v>
      </c>
      <c r="C9" s="70">
        <v>3067190</v>
      </c>
      <c r="D9" s="70">
        <f>2501507.08*1.18</f>
        <v>2951778.3544000001</v>
      </c>
      <c r="E9" s="3">
        <f t="shared" si="0"/>
        <v>115411.64559999993</v>
      </c>
    </row>
    <row r="10" spans="1:5" ht="15.75" x14ac:dyDescent="0.25">
      <c r="A10" s="71" t="s">
        <v>121</v>
      </c>
      <c r="B10" s="71" t="s">
        <v>162</v>
      </c>
      <c r="C10" s="70">
        <v>1803670</v>
      </c>
      <c r="D10" s="70"/>
      <c r="E10" s="3">
        <f t="shared" si="0"/>
        <v>1803670</v>
      </c>
    </row>
    <row r="11" spans="1:5" ht="15.75" x14ac:dyDescent="0.25">
      <c r="A11" s="71" t="s">
        <v>123</v>
      </c>
      <c r="B11" s="71" t="s">
        <v>97</v>
      </c>
      <c r="C11" s="70">
        <v>232140</v>
      </c>
      <c r="D11" s="70"/>
      <c r="E11" s="3">
        <f t="shared" si="0"/>
        <v>232140</v>
      </c>
    </row>
    <row r="12" spans="1:5" ht="78.75" x14ac:dyDescent="0.25">
      <c r="A12" s="71" t="s">
        <v>163</v>
      </c>
      <c r="B12" s="71" t="s">
        <v>164</v>
      </c>
      <c r="C12" s="70">
        <v>632500</v>
      </c>
      <c r="D12" s="70"/>
      <c r="E12" s="3">
        <f t="shared" si="0"/>
        <v>632500</v>
      </c>
    </row>
    <row r="13" spans="1:5" ht="47.25" x14ac:dyDescent="0.25">
      <c r="A13" s="71" t="s">
        <v>165</v>
      </c>
      <c r="B13" s="71" t="s">
        <v>166</v>
      </c>
      <c r="C13" s="70">
        <v>1148160</v>
      </c>
      <c r="D13" s="70"/>
      <c r="E13" s="3">
        <f t="shared" si="0"/>
        <v>1148160</v>
      </c>
    </row>
    <row r="14" spans="1:5" ht="31.5" x14ac:dyDescent="0.25">
      <c r="A14" s="71" t="s">
        <v>141</v>
      </c>
      <c r="B14" s="71" t="s">
        <v>167</v>
      </c>
      <c r="C14" s="70">
        <v>440820</v>
      </c>
      <c r="D14" s="70"/>
      <c r="E14" s="3">
        <f t="shared" si="0"/>
        <v>440820</v>
      </c>
    </row>
    <row r="15" spans="1:5" ht="47.25" x14ac:dyDescent="0.25">
      <c r="A15" s="71" t="s">
        <v>168</v>
      </c>
      <c r="B15" s="71" t="s">
        <v>99</v>
      </c>
      <c r="C15" s="70">
        <v>611700</v>
      </c>
      <c r="D15" s="70"/>
      <c r="E15" s="3">
        <f t="shared" si="0"/>
        <v>611700</v>
      </c>
    </row>
    <row r="16" spans="1:5" ht="31.5" x14ac:dyDescent="0.25">
      <c r="A16" s="71" t="s">
        <v>169</v>
      </c>
      <c r="B16" s="71" t="s">
        <v>170</v>
      </c>
      <c r="C16" s="70">
        <v>30170</v>
      </c>
      <c r="D16" s="70"/>
      <c r="E16" s="3">
        <f t="shared" si="0"/>
        <v>30170</v>
      </c>
    </row>
    <row r="17" spans="1:5" ht="47.25" x14ac:dyDescent="0.25">
      <c r="A17" s="71" t="s">
        <v>176</v>
      </c>
      <c r="B17" s="71"/>
      <c r="C17" s="70"/>
      <c r="D17" s="70">
        <f>(610379.83+564441.1+1992822.44)*1.18</f>
        <v>3737819.1765999999</v>
      </c>
      <c r="E17" s="3">
        <f t="shared" si="0"/>
        <v>-3737819.1765999999</v>
      </c>
    </row>
    <row r="18" spans="1:5" ht="15.75" x14ac:dyDescent="0.25">
      <c r="A18" s="72" t="s">
        <v>171</v>
      </c>
      <c r="B18" s="72"/>
      <c r="C18" s="73">
        <f>SUM(C3:C17)</f>
        <v>24213670</v>
      </c>
      <c r="D18" s="73">
        <f>SUM(D3:D17)</f>
        <v>19392112.259199999</v>
      </c>
      <c r="E18" s="3">
        <f t="shared" si="0"/>
        <v>4821557.7408000007</v>
      </c>
    </row>
    <row r="19" spans="1:5" ht="20.25" customHeight="1" x14ac:dyDescent="0.25">
      <c r="A19" s="101" t="s">
        <v>172</v>
      </c>
      <c r="B19" s="101"/>
      <c r="C19" s="101"/>
      <c r="D19" s="101"/>
      <c r="E19" s="3">
        <f t="shared" si="0"/>
        <v>0</v>
      </c>
    </row>
    <row r="20" spans="1:5" ht="15.75" x14ac:dyDescent="0.25">
      <c r="A20" s="71" t="s">
        <v>63</v>
      </c>
      <c r="B20" s="71" t="s">
        <v>115</v>
      </c>
      <c r="C20" s="70">
        <v>82480</v>
      </c>
      <c r="D20" s="70">
        <f>67270.23*1.18</f>
        <v>79378.871399999989</v>
      </c>
      <c r="E20" s="3">
        <f t="shared" si="0"/>
        <v>3101.1286000000109</v>
      </c>
    </row>
    <row r="21" spans="1:5" ht="15.75" x14ac:dyDescent="0.25">
      <c r="A21" s="71" t="s">
        <v>116</v>
      </c>
      <c r="B21" s="71" t="s">
        <v>117</v>
      </c>
      <c r="C21" s="70">
        <v>2065670</v>
      </c>
      <c r="D21" s="70">
        <f>1684698.82*1.18</f>
        <v>1987944.6076</v>
      </c>
      <c r="E21" s="3">
        <f t="shared" si="0"/>
        <v>77725.392400000012</v>
      </c>
    </row>
    <row r="22" spans="1:5" ht="15.75" x14ac:dyDescent="0.25">
      <c r="A22" s="71" t="s">
        <v>129</v>
      </c>
      <c r="B22" s="71" t="s">
        <v>130</v>
      </c>
      <c r="C22" s="70">
        <v>672800</v>
      </c>
      <c r="D22" s="70">
        <f>312310.13*1.18</f>
        <v>368525.9534</v>
      </c>
      <c r="E22" s="3">
        <f t="shared" si="0"/>
        <v>304274.0466</v>
      </c>
    </row>
    <row r="23" spans="1:5" ht="15.75" x14ac:dyDescent="0.25">
      <c r="A23" s="71" t="s">
        <v>127</v>
      </c>
      <c r="B23" s="71" t="s">
        <v>122</v>
      </c>
      <c r="C23" s="70">
        <v>653020</v>
      </c>
      <c r="D23" s="70">
        <f>532588.73*1.18+178205.04*1.18</f>
        <v>838736.64859999996</v>
      </c>
      <c r="E23" s="3">
        <f t="shared" si="0"/>
        <v>-185716.64859999996</v>
      </c>
    </row>
    <row r="24" spans="1:5" ht="15.75" x14ac:dyDescent="0.25">
      <c r="A24" s="71" t="s">
        <v>173</v>
      </c>
      <c r="B24" s="71" t="s">
        <v>132</v>
      </c>
      <c r="C24" s="70">
        <v>1569970</v>
      </c>
      <c r="D24" s="70">
        <f>1280420.11*1.18</f>
        <v>1510895.7298000001</v>
      </c>
      <c r="E24" s="3">
        <f t="shared" si="0"/>
        <v>59074.270199999912</v>
      </c>
    </row>
    <row r="25" spans="1:5" ht="15.75" x14ac:dyDescent="0.25">
      <c r="A25" s="71" t="s">
        <v>121</v>
      </c>
      <c r="B25" s="71" t="s">
        <v>126</v>
      </c>
      <c r="C25" s="70">
        <v>1950880</v>
      </c>
      <c r="D25" s="70">
        <f>860142.48*1.18</f>
        <v>1014968.1264</v>
      </c>
      <c r="E25" s="3">
        <f t="shared" si="0"/>
        <v>935911.87360000005</v>
      </c>
    </row>
    <row r="26" spans="1:5" ht="15.75" x14ac:dyDescent="0.25">
      <c r="A26" s="71" t="s">
        <v>123</v>
      </c>
      <c r="B26" s="71" t="s">
        <v>124</v>
      </c>
      <c r="C26" s="70">
        <v>260870</v>
      </c>
      <c r="D26" s="70">
        <f>212757.7*1.18</f>
        <v>251054.08600000001</v>
      </c>
      <c r="E26" s="3">
        <f t="shared" si="0"/>
        <v>9815.9139999999898</v>
      </c>
    </row>
    <row r="27" spans="1:5" ht="47.25" x14ac:dyDescent="0.25">
      <c r="A27" s="71" t="s">
        <v>168</v>
      </c>
      <c r="B27" s="71" t="s">
        <v>6</v>
      </c>
      <c r="C27" s="70">
        <v>564550</v>
      </c>
      <c r="D27" s="70">
        <f>290785.59*1.18+131405.72*1.18</f>
        <v>498185.74579999998</v>
      </c>
      <c r="E27" s="3">
        <f t="shared" si="0"/>
        <v>66364.254200000025</v>
      </c>
    </row>
    <row r="28" spans="1:5" ht="31.5" x14ac:dyDescent="0.25">
      <c r="A28" s="71" t="s">
        <v>141</v>
      </c>
      <c r="B28" s="71" t="s">
        <v>143</v>
      </c>
      <c r="C28" s="70">
        <v>326680</v>
      </c>
      <c r="D28" s="70">
        <f>266430.32*1.18</f>
        <v>314387.77759999997</v>
      </c>
      <c r="E28" s="3">
        <f t="shared" si="0"/>
        <v>12292.222400000028</v>
      </c>
    </row>
    <row r="29" spans="1:5" ht="31.5" x14ac:dyDescent="0.25">
      <c r="A29" s="71" t="s">
        <v>169</v>
      </c>
      <c r="B29" s="71" t="s">
        <v>143</v>
      </c>
      <c r="C29" s="70">
        <v>162930</v>
      </c>
      <c r="D29" s="70">
        <f>132880.82*1.18</f>
        <v>156799.3676</v>
      </c>
      <c r="E29" s="3">
        <f t="shared" si="0"/>
        <v>6130.6324000000022</v>
      </c>
    </row>
    <row r="30" spans="1:5" ht="78.75" x14ac:dyDescent="0.25">
      <c r="A30" s="71" t="s">
        <v>163</v>
      </c>
      <c r="B30" s="71" t="s">
        <v>150</v>
      </c>
      <c r="C30" s="70">
        <v>487610</v>
      </c>
      <c r="D30" s="70">
        <f>2530708.96*1.18</f>
        <v>2986236.5727999997</v>
      </c>
      <c r="E30" s="3">
        <f t="shared" si="0"/>
        <v>-2498626.5727999997</v>
      </c>
    </row>
    <row r="31" spans="1:5" ht="47.25" x14ac:dyDescent="0.25">
      <c r="A31" s="71" t="s">
        <v>165</v>
      </c>
      <c r="B31" s="71" t="s">
        <v>103</v>
      </c>
      <c r="C31" s="70">
        <v>748920</v>
      </c>
      <c r="D31" s="70">
        <f>610797.38*1.18</f>
        <v>720740.90839999996</v>
      </c>
      <c r="E31" s="3">
        <f t="shared" si="0"/>
        <v>28179.091600000043</v>
      </c>
    </row>
    <row r="32" spans="1:5" ht="31.5" x14ac:dyDescent="0.25">
      <c r="A32" s="71" t="s">
        <v>153</v>
      </c>
      <c r="B32" s="71"/>
      <c r="C32" s="70"/>
      <c r="D32" s="70">
        <f>176384.54*1.18+25408.47*1.18</f>
        <v>238115.7518</v>
      </c>
      <c r="E32" s="3">
        <f t="shared" si="0"/>
        <v>-238115.7518</v>
      </c>
    </row>
    <row r="33" spans="1:5" ht="47.25" x14ac:dyDescent="0.25">
      <c r="A33" s="71" t="s">
        <v>177</v>
      </c>
      <c r="B33" s="71"/>
      <c r="C33" s="70"/>
      <c r="D33" s="70">
        <f>156419.98*1.18</f>
        <v>184575.57639999999</v>
      </c>
      <c r="E33" s="3">
        <f t="shared" si="0"/>
        <v>-184575.57639999999</v>
      </c>
    </row>
    <row r="34" spans="1:5" ht="15.75" x14ac:dyDescent="0.25">
      <c r="A34" s="72" t="s">
        <v>171</v>
      </c>
      <c r="B34" s="72"/>
      <c r="C34" s="73">
        <f>SUM(C20:C31)</f>
        <v>9546380</v>
      </c>
      <c r="D34" s="73">
        <f>SUM(D20:D33)</f>
        <v>11150545.7236</v>
      </c>
      <c r="E34" s="3">
        <f t="shared" si="0"/>
        <v>-1604165.7236000001</v>
      </c>
    </row>
    <row r="35" spans="1:5" ht="15.75" x14ac:dyDescent="0.25">
      <c r="A35" s="101" t="s">
        <v>174</v>
      </c>
      <c r="B35" s="101"/>
      <c r="C35" s="101"/>
      <c r="D35" s="101"/>
      <c r="E35" s="3">
        <f t="shared" si="0"/>
        <v>0</v>
      </c>
    </row>
    <row r="36" spans="1:5" ht="31.5" x14ac:dyDescent="0.25">
      <c r="A36" s="71" t="s">
        <v>79</v>
      </c>
      <c r="B36" s="71" t="s">
        <v>110</v>
      </c>
      <c r="C36" s="70">
        <v>1088266</v>
      </c>
      <c r="D36" s="70">
        <f>754007.12*1.18+113819.47*1.18</f>
        <v>1024035.3761999999</v>
      </c>
      <c r="E36" s="3">
        <f t="shared" si="0"/>
        <v>64230.623800000059</v>
      </c>
    </row>
    <row r="37" spans="1:5" ht="78.75" x14ac:dyDescent="0.25">
      <c r="A37" s="71" t="s">
        <v>163</v>
      </c>
      <c r="B37" s="71" t="s">
        <v>101</v>
      </c>
      <c r="C37" s="70">
        <v>111286</v>
      </c>
      <c r="D37" s="70"/>
      <c r="E37" s="3">
        <f t="shared" si="0"/>
        <v>111286</v>
      </c>
    </row>
    <row r="38" spans="1:5" ht="15.75" x14ac:dyDescent="0.25">
      <c r="A38" s="72" t="s">
        <v>171</v>
      </c>
      <c r="B38" s="72"/>
      <c r="C38" s="73">
        <f>C37+C36</f>
        <v>1199552</v>
      </c>
      <c r="D38" s="73">
        <f>D37+D36</f>
        <v>1024035.3761999999</v>
      </c>
      <c r="E38" s="3">
        <f t="shared" si="0"/>
        <v>175516.62380000006</v>
      </c>
    </row>
    <row r="39" spans="1:5" ht="141.75" x14ac:dyDescent="0.25">
      <c r="A39" s="71" t="s">
        <v>175</v>
      </c>
      <c r="B39" s="71"/>
      <c r="C39" s="70">
        <v>296398</v>
      </c>
      <c r="D39" s="70">
        <f>102372.88*1.18</f>
        <v>120799.9984</v>
      </c>
      <c r="E39" s="3">
        <f t="shared" si="0"/>
        <v>175598.00160000002</v>
      </c>
    </row>
    <row r="40" spans="1:5" ht="31.5" x14ac:dyDescent="0.25">
      <c r="A40" s="71" t="s">
        <v>12</v>
      </c>
      <c r="B40" s="71"/>
      <c r="C40" s="70"/>
      <c r="D40" s="70">
        <f>740998.95*1.18</f>
        <v>874378.76099999994</v>
      </c>
      <c r="E40" s="3">
        <f t="shared" si="0"/>
        <v>-874378.76099999994</v>
      </c>
    </row>
    <row r="41" spans="1:5" ht="15.75" x14ac:dyDescent="0.25">
      <c r="A41" s="71" t="s">
        <v>136</v>
      </c>
      <c r="B41" s="71"/>
      <c r="C41" s="70"/>
      <c r="D41" s="70">
        <f>720534.88*1.18</f>
        <v>850231.15839999996</v>
      </c>
      <c r="E41" s="3">
        <f t="shared" si="0"/>
        <v>-850231.15839999996</v>
      </c>
    </row>
    <row r="42" spans="1:5" ht="15.75" x14ac:dyDescent="0.25">
      <c r="A42" s="71" t="s">
        <v>137</v>
      </c>
      <c r="B42" s="71"/>
      <c r="C42" s="70"/>
      <c r="D42" s="70">
        <f>1389912.22*1.18</f>
        <v>1640096.4195999999</v>
      </c>
      <c r="E42" s="3">
        <f t="shared" si="0"/>
        <v>-1640096.4195999999</v>
      </c>
    </row>
    <row r="43" spans="1:5" ht="31.5" x14ac:dyDescent="0.25">
      <c r="A43" s="71" t="s">
        <v>16</v>
      </c>
      <c r="B43" s="71"/>
      <c r="C43" s="70"/>
      <c r="D43" s="70">
        <f>153337.1*1.18+0.04</f>
        <v>180937.818</v>
      </c>
      <c r="E43" s="3">
        <f t="shared" si="0"/>
        <v>-180937.818</v>
      </c>
    </row>
    <row r="44" spans="1:5" ht="31.5" x14ac:dyDescent="0.25">
      <c r="A44" s="71" t="s">
        <v>19</v>
      </c>
      <c r="B44" s="71"/>
      <c r="C44" s="70"/>
      <c r="D44" s="70">
        <f>19374.99*1.18</f>
        <v>22862.4882</v>
      </c>
      <c r="E44" s="3">
        <f t="shared" si="0"/>
        <v>-22862.4882</v>
      </c>
    </row>
    <row r="45" spans="1:5" ht="15.75" x14ac:dyDescent="0.25">
      <c r="A45" s="72" t="s">
        <v>111</v>
      </c>
      <c r="B45" s="72"/>
      <c r="C45" s="73">
        <f>C39+C38+C34+C18</f>
        <v>35256000</v>
      </c>
      <c r="D45" s="73">
        <f>D39+D38+D34+D18+D40+D41+D42+D43+D44</f>
        <v>35256000.002600007</v>
      </c>
    </row>
    <row r="47" spans="1:5" x14ac:dyDescent="0.25">
      <c r="D47" s="3">
        <f>D3+D4+D5+D6+C7+D8+D9+D20+D21+D22+C23+D24+D25+D26+D27+D28+D29+C30+D31+D36+D39</f>
        <v>24592258.917600002</v>
      </c>
      <c r="E47" s="3">
        <v>24592258.920000002</v>
      </c>
    </row>
    <row r="48" spans="1:5" x14ac:dyDescent="0.25">
      <c r="D48" s="3">
        <f>D45-D47</f>
        <v>10663741.085000005</v>
      </c>
      <c r="E48" s="3">
        <v>10663741.08</v>
      </c>
    </row>
  </sheetData>
  <mergeCells count="3">
    <mergeCell ref="A2:D2"/>
    <mergeCell ref="A19:D19"/>
    <mergeCell ref="A35:D35"/>
  </mergeCells>
  <pageMargins left="0.7" right="0.7" top="0.75" bottom="0.75" header="0.3" footer="0.3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C2" sqref="C2:D2"/>
    </sheetView>
  </sheetViews>
  <sheetFormatPr defaultRowHeight="18.75" x14ac:dyDescent="0.3"/>
  <cols>
    <col min="1" max="1" width="9.140625" style="75"/>
    <col min="2" max="2" width="44.5703125" style="76" customWidth="1"/>
    <col min="3" max="3" width="23" style="75" bestFit="1" customWidth="1"/>
    <col min="4" max="4" width="22.28515625" style="77" customWidth="1"/>
    <col min="5" max="16384" width="9.140625" style="74"/>
  </cols>
  <sheetData>
    <row r="1" spans="1:4" ht="54.75" customHeight="1" x14ac:dyDescent="0.3">
      <c r="A1" s="102" t="s">
        <v>178</v>
      </c>
      <c r="B1" s="102"/>
      <c r="C1" s="102"/>
      <c r="D1" s="102"/>
    </row>
    <row r="2" spans="1:4" ht="40.5" customHeight="1" x14ac:dyDescent="0.3">
      <c r="C2" s="102" t="s">
        <v>197</v>
      </c>
      <c r="D2" s="102"/>
    </row>
    <row r="3" spans="1:4" x14ac:dyDescent="0.3">
      <c r="A3" s="75" t="s">
        <v>180</v>
      </c>
      <c r="B3" s="76" t="s">
        <v>179</v>
      </c>
      <c r="C3" s="75" t="s">
        <v>156</v>
      </c>
      <c r="D3" s="77" t="s">
        <v>182</v>
      </c>
    </row>
    <row r="4" spans="1:4" ht="75" customHeight="1" x14ac:dyDescent="0.3">
      <c r="A4" s="75">
        <v>1</v>
      </c>
      <c r="B4" s="76" t="s">
        <v>181</v>
      </c>
      <c r="C4" s="75" t="s">
        <v>21</v>
      </c>
      <c r="D4" s="77">
        <v>402500.24</v>
      </c>
    </row>
    <row r="5" spans="1:4" ht="56.25" x14ac:dyDescent="0.3">
      <c r="A5" s="75">
        <v>2</v>
      </c>
      <c r="B5" s="76" t="s">
        <v>183</v>
      </c>
      <c r="C5" s="75" t="s">
        <v>23</v>
      </c>
      <c r="D5" s="77">
        <v>719911.28</v>
      </c>
    </row>
    <row r="6" spans="1:4" ht="75" x14ac:dyDescent="0.3">
      <c r="A6" s="75">
        <v>3</v>
      </c>
      <c r="B6" s="76" t="s">
        <v>184</v>
      </c>
      <c r="C6" s="75" t="s">
        <v>25</v>
      </c>
      <c r="D6" s="77">
        <v>183280.96</v>
      </c>
    </row>
    <row r="7" spans="1:4" ht="93.75" x14ac:dyDescent="0.3">
      <c r="A7" s="75">
        <v>4</v>
      </c>
      <c r="B7" s="76" t="s">
        <v>185</v>
      </c>
      <c r="C7" s="75" t="s">
        <v>27</v>
      </c>
      <c r="D7" s="77">
        <v>136543.51999999999</v>
      </c>
    </row>
    <row r="8" spans="1:4" ht="93.75" x14ac:dyDescent="0.3">
      <c r="A8" s="75">
        <v>5</v>
      </c>
      <c r="B8" s="76" t="s">
        <v>186</v>
      </c>
      <c r="C8" s="75" t="s">
        <v>29</v>
      </c>
      <c r="D8" s="77">
        <v>105736.07</v>
      </c>
    </row>
    <row r="9" spans="1:4" ht="37.5" x14ac:dyDescent="0.3">
      <c r="A9" s="75">
        <v>6</v>
      </c>
      <c r="B9" s="76" t="s">
        <v>34</v>
      </c>
      <c r="C9" s="75" t="s">
        <v>33</v>
      </c>
      <c r="D9" s="77">
        <v>369398.7</v>
      </c>
    </row>
    <row r="10" spans="1:4" ht="75" x14ac:dyDescent="0.3">
      <c r="A10" s="75">
        <v>7</v>
      </c>
      <c r="B10" s="76" t="s">
        <v>187</v>
      </c>
      <c r="C10" s="75" t="s">
        <v>31</v>
      </c>
      <c r="D10" s="77">
        <v>13171.59</v>
      </c>
    </row>
    <row r="11" spans="1:4" x14ac:dyDescent="0.3">
      <c r="A11" s="75">
        <v>8</v>
      </c>
      <c r="B11" s="76" t="s">
        <v>36</v>
      </c>
      <c r="C11" s="75" t="s">
        <v>188</v>
      </c>
      <c r="D11" s="77">
        <v>2629656.54</v>
      </c>
    </row>
    <row r="12" spans="1:4" ht="75" x14ac:dyDescent="0.3">
      <c r="A12" s="75">
        <v>9</v>
      </c>
      <c r="B12" s="76" t="s">
        <v>38</v>
      </c>
      <c r="C12" s="75" t="s">
        <v>37</v>
      </c>
      <c r="D12" s="77">
        <v>-1140913.79</v>
      </c>
    </row>
    <row r="13" spans="1:4" ht="75" x14ac:dyDescent="0.3">
      <c r="A13" s="75">
        <v>10</v>
      </c>
      <c r="B13" s="76" t="s">
        <v>189</v>
      </c>
      <c r="C13" s="75" t="s">
        <v>93</v>
      </c>
      <c r="D13" s="77">
        <v>-196211.19</v>
      </c>
    </row>
    <row r="14" spans="1:4" ht="56.25" x14ac:dyDescent="0.3">
      <c r="A14" s="75">
        <v>11</v>
      </c>
      <c r="B14" s="76" t="s">
        <v>190</v>
      </c>
      <c r="C14" s="75" t="s">
        <v>95</v>
      </c>
      <c r="D14" s="77">
        <v>-547007.76</v>
      </c>
    </row>
    <row r="15" spans="1:4" ht="75" x14ac:dyDescent="0.3">
      <c r="A15" s="75">
        <v>12</v>
      </c>
      <c r="B15" s="76" t="s">
        <v>191</v>
      </c>
      <c r="C15" s="75" t="s">
        <v>97</v>
      </c>
      <c r="D15" s="77">
        <v>-196737.01</v>
      </c>
    </row>
    <row r="16" spans="1:4" ht="93.75" x14ac:dyDescent="0.3">
      <c r="A16" s="75">
        <v>13</v>
      </c>
      <c r="B16" s="76" t="s">
        <v>192</v>
      </c>
      <c r="C16" s="75" t="s">
        <v>99</v>
      </c>
      <c r="D16" s="77">
        <v>-518395.34</v>
      </c>
    </row>
    <row r="17" spans="1:4" ht="75" x14ac:dyDescent="0.3">
      <c r="A17" s="75">
        <v>14</v>
      </c>
      <c r="B17" s="76" t="s">
        <v>193</v>
      </c>
      <c r="C17" s="75" t="s">
        <v>101</v>
      </c>
      <c r="D17" s="77">
        <v>-86289.38</v>
      </c>
    </row>
    <row r="18" spans="1:4" ht="93.75" x14ac:dyDescent="0.3">
      <c r="A18" s="75">
        <v>15</v>
      </c>
      <c r="B18" s="76" t="s">
        <v>194</v>
      </c>
      <c r="C18" s="75" t="s">
        <v>103</v>
      </c>
      <c r="D18" s="77">
        <v>-413228.24</v>
      </c>
    </row>
    <row r="19" spans="1:4" ht="112.5" x14ac:dyDescent="0.3">
      <c r="A19" s="75">
        <v>16</v>
      </c>
      <c r="B19" s="76" t="s">
        <v>195</v>
      </c>
      <c r="C19" s="75" t="s">
        <v>29</v>
      </c>
      <c r="D19" s="77">
        <v>-105736.07</v>
      </c>
    </row>
    <row r="20" spans="1:4" ht="56.25" x14ac:dyDescent="0.3">
      <c r="A20" s="75">
        <v>17</v>
      </c>
      <c r="B20" s="76" t="s">
        <v>190</v>
      </c>
      <c r="C20" s="75" t="s">
        <v>95</v>
      </c>
      <c r="D20" s="77">
        <v>-547007.76</v>
      </c>
    </row>
    <row r="21" spans="1:4" ht="75" x14ac:dyDescent="0.3">
      <c r="A21" s="75">
        <v>18</v>
      </c>
      <c r="B21" s="76" t="s">
        <v>196</v>
      </c>
      <c r="C21" s="75" t="s">
        <v>93</v>
      </c>
      <c r="D21" s="77">
        <v>-196211.19</v>
      </c>
    </row>
    <row r="22" spans="1:4" ht="75" x14ac:dyDescent="0.3">
      <c r="A22" s="75">
        <v>19</v>
      </c>
      <c r="B22" s="76" t="s">
        <v>38</v>
      </c>
      <c r="C22" s="75" t="s">
        <v>37</v>
      </c>
      <c r="D22" s="77">
        <v>-1140913.79</v>
      </c>
    </row>
    <row r="23" spans="1:4" x14ac:dyDescent="0.3">
      <c r="A23" s="75">
        <v>20</v>
      </c>
    </row>
    <row r="24" spans="1:4" x14ac:dyDescent="0.3">
      <c r="D24" s="77">
        <f>SUM(D4:D22)</f>
        <v>-528452.61999999988</v>
      </c>
    </row>
  </sheetData>
  <mergeCells count="2">
    <mergeCell ref="A1:D1"/>
    <mergeCell ref="C2:D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view="pageBreakPreview" zoomScale="55" zoomScaleNormal="80" zoomScaleSheetLayoutView="55" workbookViewId="0">
      <selection activeCell="D6" sqref="D6"/>
    </sheetView>
  </sheetViews>
  <sheetFormatPr defaultRowHeight="15" x14ac:dyDescent="0.25"/>
  <cols>
    <col min="1" max="1" width="13.7109375" customWidth="1"/>
    <col min="2" max="2" width="45" customWidth="1"/>
    <col min="3" max="3" width="23.85546875" hidden="1" customWidth="1"/>
    <col min="4" max="4" width="29.140625" customWidth="1"/>
    <col min="5" max="5" width="23.140625" hidden="1" customWidth="1"/>
    <col min="6" max="6" width="30.7109375" customWidth="1"/>
    <col min="7" max="7" width="21.5703125" customWidth="1"/>
    <col min="8" max="8" width="18.85546875" customWidth="1"/>
    <col min="9" max="9" width="23.140625" hidden="1" customWidth="1"/>
    <col min="10" max="12" width="23.140625" customWidth="1"/>
    <col min="13" max="13" width="27.140625" customWidth="1"/>
    <col min="14" max="14" width="29.5703125" customWidth="1"/>
    <col min="15" max="15" width="12.5703125" hidden="1" customWidth="1"/>
    <col min="16" max="16" width="14.85546875" hidden="1" customWidth="1"/>
  </cols>
  <sheetData>
    <row r="1" spans="1:16" ht="138.75" customHeight="1" x14ac:dyDescent="0.3">
      <c r="A1" s="79"/>
      <c r="B1" s="79"/>
      <c r="C1" s="79"/>
      <c r="D1" s="79"/>
      <c r="E1" s="79"/>
      <c r="F1" s="79"/>
      <c r="G1" s="79"/>
      <c r="H1" s="79"/>
      <c r="I1" s="79"/>
      <c r="J1" s="84"/>
      <c r="K1" s="84"/>
      <c r="L1" s="84"/>
      <c r="M1" s="107" t="s">
        <v>243</v>
      </c>
      <c r="N1" s="107"/>
    </row>
    <row r="2" spans="1:16" ht="37.5" customHeight="1" x14ac:dyDescent="0.3">
      <c r="A2" s="109" t="s">
        <v>234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6" s="78" customFormat="1" ht="83.25" customHeight="1" x14ac:dyDescent="0.25">
      <c r="A3" s="108" t="s">
        <v>198</v>
      </c>
      <c r="B3" s="108" t="s">
        <v>199</v>
      </c>
      <c r="C3" s="111" t="s">
        <v>207</v>
      </c>
      <c r="D3" s="112"/>
      <c r="E3" s="111" t="s">
        <v>206</v>
      </c>
      <c r="F3" s="112"/>
      <c r="G3" s="113" t="s">
        <v>205</v>
      </c>
      <c r="H3" s="114"/>
      <c r="I3" s="108" t="s">
        <v>208</v>
      </c>
      <c r="J3" s="108" t="s">
        <v>209</v>
      </c>
      <c r="K3" s="108" t="s">
        <v>210</v>
      </c>
      <c r="L3" s="108" t="s">
        <v>211</v>
      </c>
      <c r="M3" s="108" t="s">
        <v>212</v>
      </c>
      <c r="N3" s="108" t="s">
        <v>211</v>
      </c>
    </row>
    <row r="4" spans="1:16" ht="75" x14ac:dyDescent="0.25">
      <c r="A4" s="108"/>
      <c r="B4" s="108"/>
      <c r="C4" s="80" t="s">
        <v>204</v>
      </c>
      <c r="D4" s="80" t="s">
        <v>204</v>
      </c>
      <c r="E4" s="80" t="s">
        <v>204</v>
      </c>
      <c r="F4" s="80" t="s">
        <v>204</v>
      </c>
      <c r="G4" s="115"/>
      <c r="H4" s="116"/>
      <c r="I4" s="108"/>
      <c r="J4" s="108"/>
      <c r="K4" s="108"/>
      <c r="L4" s="108"/>
      <c r="M4" s="108"/>
      <c r="N4" s="108"/>
    </row>
    <row r="5" spans="1:16" ht="79.5" customHeight="1" x14ac:dyDescent="0.25">
      <c r="A5" s="80">
        <v>1</v>
      </c>
      <c r="B5" s="117" t="s">
        <v>231</v>
      </c>
      <c r="C5" s="81">
        <v>6433.23</v>
      </c>
      <c r="D5" s="81">
        <f>C5*1.0248*1.0297*1.01*1.03*1.18</f>
        <v>8333.3479132687262</v>
      </c>
      <c r="E5" s="81">
        <v>5993.44</v>
      </c>
      <c r="F5" s="81">
        <f>E5*1.0248*1.0297*1.003*1.01*1.03*1.18</f>
        <v>7786.9525851637836</v>
      </c>
      <c r="G5" s="103">
        <f>F5+D5</f>
        <v>16120.300498432509</v>
      </c>
      <c r="H5" s="104"/>
      <c r="I5" s="81">
        <f t="shared" ref="I5:I29" si="0">H5*G5</f>
        <v>0</v>
      </c>
      <c r="J5" s="81">
        <f>G5-10800.6</f>
        <v>5319.7004984325085</v>
      </c>
      <c r="K5" s="81">
        <f>J5/5.8*7.34</f>
        <v>6732.1726997404503</v>
      </c>
      <c r="L5" s="81">
        <f>K5</f>
        <v>6732.1726997404503</v>
      </c>
      <c r="M5" s="81">
        <f>K5/5.8*7.49</f>
        <v>8693.7885381131</v>
      </c>
      <c r="N5" s="81">
        <f>M5+1523.22</f>
        <v>10217.008538113099</v>
      </c>
      <c r="O5">
        <f>100.3*100.37*100.44*100.27*100.15*100.37*100.53*100.35*100.55/1000000000000000000</f>
        <v>1.0337906221967581</v>
      </c>
      <c r="P5">
        <f>L5*O$5</f>
        <v>6959.6570040007091</v>
      </c>
    </row>
    <row r="6" spans="1:16" ht="121.5" customHeight="1" x14ac:dyDescent="0.25">
      <c r="A6" s="80">
        <v>2</v>
      </c>
      <c r="B6" s="117" t="s">
        <v>232</v>
      </c>
      <c r="C6" s="81">
        <v>5695.04</v>
      </c>
      <c r="D6" s="81">
        <f t="shared" ref="D6:D29" si="1">C6*1.0248*1.0297*1.01*1.03*1.18</f>
        <v>7377.1262180867034</v>
      </c>
      <c r="E6" s="81">
        <v>5213.58</v>
      </c>
      <c r="F6" s="81">
        <f t="shared" ref="F6:F29" si="2">E6*1.0248*1.0297*1.003*1.01*1.03*1.18</f>
        <v>6773.7226465866352</v>
      </c>
      <c r="G6" s="103">
        <f t="shared" ref="G6:G29" si="3">F6+D6</f>
        <v>14150.848864673339</v>
      </c>
      <c r="H6" s="104"/>
      <c r="I6" s="81">
        <f t="shared" si="0"/>
        <v>0</v>
      </c>
      <c r="J6" s="81">
        <f>G6-11886.71</f>
        <v>2264.1388646733394</v>
      </c>
      <c r="K6" s="81">
        <f t="shared" ref="K6:K29" si="4">J6/5.8*7.34</f>
        <v>2865.306770121088</v>
      </c>
      <c r="L6" s="81">
        <f t="shared" ref="L6:N28" si="5">K6</f>
        <v>2865.306770121088</v>
      </c>
      <c r="M6" s="81">
        <f t="shared" ref="M6:M29" si="6">K6/5.8*7.49</f>
        <v>3700.1978807253363</v>
      </c>
      <c r="N6" s="81">
        <f>M6+1523.22</f>
        <v>5223.4178807253365</v>
      </c>
      <c r="P6">
        <f t="shared" ref="P6:P29" si="7">L6*O$5</f>
        <v>2962.1272686680627</v>
      </c>
    </row>
    <row r="7" spans="1:16" ht="69.75" customHeight="1" x14ac:dyDescent="0.25">
      <c r="A7" s="80">
        <v>3</v>
      </c>
      <c r="B7" s="117" t="s">
        <v>220</v>
      </c>
      <c r="C7" s="81">
        <v>1245.6300000000001</v>
      </c>
      <c r="D7" s="81">
        <f t="shared" si="1"/>
        <v>1613.5391026288385</v>
      </c>
      <c r="E7" s="81"/>
      <c r="F7" s="81">
        <f t="shared" si="2"/>
        <v>0</v>
      </c>
      <c r="G7" s="103">
        <f t="shared" si="3"/>
        <v>1613.5391026288385</v>
      </c>
      <c r="H7" s="104"/>
      <c r="I7" s="81">
        <f t="shared" si="0"/>
        <v>0</v>
      </c>
      <c r="J7" s="81">
        <f>G7-1581.27</f>
        <v>32.269102628838482</v>
      </c>
      <c r="K7" s="81">
        <f t="shared" si="4"/>
        <v>40.837105740633532</v>
      </c>
      <c r="L7" s="81">
        <f t="shared" si="5"/>
        <v>40.837105740633532</v>
      </c>
      <c r="M7" s="81">
        <f t="shared" si="6"/>
        <v>52.736193447818138</v>
      </c>
      <c r="N7" s="81">
        <f t="shared" si="5"/>
        <v>52.736193447818138</v>
      </c>
      <c r="P7">
        <f t="shared" si="7"/>
        <v>42.217016952324343</v>
      </c>
    </row>
    <row r="8" spans="1:16" ht="97.5" customHeight="1" x14ac:dyDescent="0.25">
      <c r="A8" s="80">
        <v>4</v>
      </c>
      <c r="B8" s="117" t="s">
        <v>213</v>
      </c>
      <c r="C8" s="81">
        <v>1348.2</v>
      </c>
      <c r="D8" s="81">
        <f t="shared" si="1"/>
        <v>1746.4041634869104</v>
      </c>
      <c r="E8" s="81">
        <v>1080.44</v>
      </c>
      <c r="F8" s="81">
        <f t="shared" si="2"/>
        <v>1403.7572831486355</v>
      </c>
      <c r="G8" s="103">
        <f t="shared" si="3"/>
        <v>3150.1614466355459</v>
      </c>
      <c r="H8" s="104"/>
      <c r="I8" s="81">
        <f t="shared" si="0"/>
        <v>0</v>
      </c>
      <c r="J8" s="81">
        <f>G8-1952.26</f>
        <v>1197.9014466355459</v>
      </c>
      <c r="K8" s="81">
        <f t="shared" si="4"/>
        <v>1515.9649341905013</v>
      </c>
      <c r="L8" s="81">
        <f t="shared" si="5"/>
        <v>1515.9649341905013</v>
      </c>
      <c r="M8" s="81">
        <f t="shared" si="6"/>
        <v>1957.6857512218717</v>
      </c>
      <c r="N8" s="81">
        <f t="shared" si="5"/>
        <v>1957.6857512218717</v>
      </c>
      <c r="P8">
        <f t="shared" si="7"/>
        <v>1567.1903325452658</v>
      </c>
    </row>
    <row r="9" spans="1:16" ht="84.75" customHeight="1" x14ac:dyDescent="0.25">
      <c r="A9" s="80" t="s">
        <v>242</v>
      </c>
      <c r="B9" s="117" t="s">
        <v>214</v>
      </c>
      <c r="C9" s="81"/>
      <c r="D9" s="81">
        <f t="shared" si="1"/>
        <v>0</v>
      </c>
      <c r="E9" s="81">
        <v>21558.69</v>
      </c>
      <c r="F9" s="81">
        <f t="shared" si="2"/>
        <v>28010.040448931599</v>
      </c>
      <c r="G9" s="103">
        <f t="shared" si="3"/>
        <v>28010.040448931599</v>
      </c>
      <c r="H9" s="104"/>
      <c r="I9" s="81">
        <f t="shared" si="0"/>
        <v>0</v>
      </c>
      <c r="J9" s="81">
        <f>G9-10923.92</f>
        <v>17086.120448931601</v>
      </c>
      <c r="K9" s="81">
        <f t="shared" si="4"/>
        <v>21622.780016406545</v>
      </c>
      <c r="L9" s="81">
        <f t="shared" si="5"/>
        <v>21622.780016406545</v>
      </c>
      <c r="M9" s="81">
        <f t="shared" si="6"/>
        <v>27923.210745325003</v>
      </c>
      <c r="N9" s="81">
        <f t="shared" si="5"/>
        <v>27923.210745325003</v>
      </c>
      <c r="P9">
        <f t="shared" si="7"/>
        <v>22353.427206784549</v>
      </c>
    </row>
    <row r="10" spans="1:16" ht="97.5" customHeight="1" x14ac:dyDescent="0.25">
      <c r="A10" s="80">
        <v>5</v>
      </c>
      <c r="B10" s="117" t="s">
        <v>215</v>
      </c>
      <c r="C10" s="81"/>
      <c r="D10" s="81">
        <f t="shared" si="1"/>
        <v>0</v>
      </c>
      <c r="E10" s="81">
        <v>10702.19</v>
      </c>
      <c r="F10" s="81">
        <f t="shared" si="2"/>
        <v>13904.776903984022</v>
      </c>
      <c r="G10" s="103">
        <f t="shared" si="3"/>
        <v>13904.776903984022</v>
      </c>
      <c r="H10" s="104"/>
      <c r="I10" s="81">
        <f t="shared" si="0"/>
        <v>0</v>
      </c>
      <c r="J10" s="81">
        <f>G10-13626.68</f>
        <v>278.09690398402199</v>
      </c>
      <c r="K10" s="81">
        <f t="shared" si="4"/>
        <v>351.93642676598643</v>
      </c>
      <c r="L10" s="81">
        <f t="shared" si="5"/>
        <v>351.93642676598643</v>
      </c>
      <c r="M10" s="81">
        <f t="shared" si="6"/>
        <v>454.48342008228252</v>
      </c>
      <c r="N10" s="81">
        <f t="shared" si="5"/>
        <v>454.48342008228252</v>
      </c>
      <c r="P10">
        <f t="shared" si="7"/>
        <v>363.82857760011291</v>
      </c>
    </row>
    <row r="11" spans="1:16" ht="81.75" customHeight="1" x14ac:dyDescent="0.25">
      <c r="A11" s="80" t="s">
        <v>241</v>
      </c>
      <c r="B11" s="117" t="s">
        <v>216</v>
      </c>
      <c r="C11" s="81">
        <v>985.61</v>
      </c>
      <c r="D11" s="81">
        <f t="shared" si="1"/>
        <v>1276.7196317863325</v>
      </c>
      <c r="E11" s="81"/>
      <c r="F11" s="81">
        <f t="shared" si="2"/>
        <v>0</v>
      </c>
      <c r="G11" s="103">
        <f t="shared" si="3"/>
        <v>1276.7196317863325</v>
      </c>
      <c r="H11" s="104"/>
      <c r="I11" s="81">
        <f t="shared" si="0"/>
        <v>0</v>
      </c>
      <c r="J11" s="81">
        <f>G11-1187.35</f>
        <v>89.369631786332548</v>
      </c>
      <c r="K11" s="81">
        <f t="shared" si="4"/>
        <v>113.0988098813243</v>
      </c>
      <c r="L11" s="81">
        <f t="shared" si="5"/>
        <v>113.0988098813243</v>
      </c>
      <c r="M11" s="81">
        <f t="shared" si="6"/>
        <v>146.05346310536535</v>
      </c>
      <c r="N11" s="81">
        <f t="shared" si="5"/>
        <v>146.05346310536535</v>
      </c>
      <c r="P11">
        <f t="shared" si="7"/>
        <v>116.92048903692711</v>
      </c>
    </row>
    <row r="12" spans="1:16" ht="91.5" customHeight="1" x14ac:dyDescent="0.25">
      <c r="A12" s="80">
        <v>6</v>
      </c>
      <c r="B12" s="117" t="s">
        <v>217</v>
      </c>
      <c r="C12" s="81"/>
      <c r="D12" s="81">
        <f t="shared" si="1"/>
        <v>0</v>
      </c>
      <c r="E12" s="81">
        <v>5304.94</v>
      </c>
      <c r="F12" s="81">
        <f t="shared" si="2"/>
        <v>6892.4217556426293</v>
      </c>
      <c r="G12" s="103">
        <f t="shared" si="3"/>
        <v>6892.4217556426293</v>
      </c>
      <c r="H12" s="104"/>
      <c r="I12" s="81">
        <f t="shared" si="0"/>
        <v>0</v>
      </c>
      <c r="J12" s="81">
        <f>G12-6203.18</f>
        <v>689.24175564262896</v>
      </c>
      <c r="K12" s="81">
        <f t="shared" si="4"/>
        <v>872.2473252442926</v>
      </c>
      <c r="L12" s="81">
        <f t="shared" si="5"/>
        <v>872.2473252442926</v>
      </c>
      <c r="M12" s="81">
        <f t="shared" si="6"/>
        <v>1126.4021493240953</v>
      </c>
      <c r="N12" s="81">
        <f t="shared" si="5"/>
        <v>1126.4021493240953</v>
      </c>
      <c r="P12">
        <f t="shared" si="7"/>
        <v>901.72110507375533</v>
      </c>
    </row>
    <row r="13" spans="1:16" ht="67.5" customHeight="1" x14ac:dyDescent="0.25">
      <c r="A13" s="80" t="s">
        <v>235</v>
      </c>
      <c r="B13" s="117" t="s">
        <v>218</v>
      </c>
      <c r="C13" s="81">
        <v>8758.19</v>
      </c>
      <c r="D13" s="81">
        <f t="shared" si="1"/>
        <v>11345.007773779427</v>
      </c>
      <c r="E13" s="81"/>
      <c r="F13" s="81">
        <f t="shared" si="2"/>
        <v>0</v>
      </c>
      <c r="G13" s="103">
        <f t="shared" si="3"/>
        <v>11345.007773779427</v>
      </c>
      <c r="H13" s="104"/>
      <c r="I13" s="81">
        <f t="shared" si="0"/>
        <v>0</v>
      </c>
      <c r="J13" s="81">
        <f>G13-10777.76</f>
        <v>567.24777377942701</v>
      </c>
      <c r="K13" s="81">
        <f t="shared" si="4"/>
        <v>717.86183785189564</v>
      </c>
      <c r="L13" s="81">
        <f t="shared" si="5"/>
        <v>717.86183785189564</v>
      </c>
      <c r="M13" s="81">
        <f t="shared" si="6"/>
        <v>927.03192508805148</v>
      </c>
      <c r="N13" s="81">
        <f t="shared" si="5"/>
        <v>927.03192508805148</v>
      </c>
      <c r="P13">
        <f t="shared" si="7"/>
        <v>742.11883600421947</v>
      </c>
    </row>
    <row r="14" spans="1:16" ht="71.25" customHeight="1" x14ac:dyDescent="0.25">
      <c r="A14" s="80" t="s">
        <v>236</v>
      </c>
      <c r="B14" s="117" t="s">
        <v>222</v>
      </c>
      <c r="C14" s="81"/>
      <c r="D14" s="81">
        <f t="shared" si="1"/>
        <v>0</v>
      </c>
      <c r="E14" s="81">
        <v>6440.79</v>
      </c>
      <c r="F14" s="81">
        <f t="shared" si="2"/>
        <v>8368.1702563130766</v>
      </c>
      <c r="G14" s="103">
        <f t="shared" si="3"/>
        <v>8368.1702563130766</v>
      </c>
      <c r="H14" s="104"/>
      <c r="I14" s="81">
        <f t="shared" si="0"/>
        <v>0</v>
      </c>
      <c r="J14" s="81">
        <f>G14-7280.31</f>
        <v>1087.8602563130762</v>
      </c>
      <c r="K14" s="81">
        <f t="shared" si="4"/>
        <v>1376.7059105755138</v>
      </c>
      <c r="L14" s="81"/>
      <c r="M14" s="81">
        <f t="shared" si="6"/>
        <v>1777.8495293466551</v>
      </c>
      <c r="N14" s="81"/>
      <c r="P14">
        <f t="shared" si="7"/>
        <v>0</v>
      </c>
    </row>
    <row r="15" spans="1:16" ht="66.75" customHeight="1" x14ac:dyDescent="0.25">
      <c r="A15" s="80">
        <v>8</v>
      </c>
      <c r="B15" s="117" t="s">
        <v>219</v>
      </c>
      <c r="C15" s="81"/>
      <c r="D15" s="81">
        <f t="shared" si="1"/>
        <v>0</v>
      </c>
      <c r="E15" s="81">
        <v>1417.39</v>
      </c>
      <c r="F15" s="81">
        <f t="shared" si="2"/>
        <v>1841.5382025490026</v>
      </c>
      <c r="G15" s="103">
        <f t="shared" si="3"/>
        <v>1841.5382025490026</v>
      </c>
      <c r="H15" s="104"/>
      <c r="I15" s="81">
        <f t="shared" si="0"/>
        <v>0</v>
      </c>
      <c r="J15" s="81">
        <f>G15-1583.72</f>
        <v>257.81820254900254</v>
      </c>
      <c r="K15" s="81">
        <f t="shared" si="4"/>
        <v>326.27338046718597</v>
      </c>
      <c r="L15" s="81">
        <f t="shared" si="5"/>
        <v>326.27338046718597</v>
      </c>
      <c r="M15" s="81">
        <f t="shared" si="6"/>
        <v>421.34269305159017</v>
      </c>
      <c r="N15" s="81">
        <f t="shared" si="5"/>
        <v>421.34269305159017</v>
      </c>
      <c r="P15">
        <f t="shared" si="7"/>
        <v>337.29836099941178</v>
      </c>
    </row>
    <row r="16" spans="1:16" ht="61.5" customHeight="1" x14ac:dyDescent="0.25">
      <c r="A16" s="80">
        <v>9</v>
      </c>
      <c r="B16" s="117" t="s">
        <v>221</v>
      </c>
      <c r="C16" s="81">
        <v>2653.83</v>
      </c>
      <c r="D16" s="81">
        <f t="shared" si="1"/>
        <v>3437.6648577262026</v>
      </c>
      <c r="E16" s="81"/>
      <c r="F16" s="81">
        <f t="shared" si="2"/>
        <v>0</v>
      </c>
      <c r="G16" s="103">
        <f t="shared" si="3"/>
        <v>3437.6648577262026</v>
      </c>
      <c r="H16" s="104"/>
      <c r="I16" s="81">
        <f t="shared" si="0"/>
        <v>0</v>
      </c>
      <c r="J16" s="81">
        <f>G16-3368.91</f>
        <v>68.754857726202772</v>
      </c>
      <c r="K16" s="81">
        <f t="shared" si="4"/>
        <v>87.010457881091099</v>
      </c>
      <c r="L16" s="81">
        <f t="shared" si="5"/>
        <v>87.010457881091099</v>
      </c>
      <c r="M16" s="81">
        <f t="shared" si="6"/>
        <v>112.36350509127109</v>
      </c>
      <c r="N16" s="81">
        <f t="shared" si="5"/>
        <v>112.36350509127109</v>
      </c>
      <c r="P16">
        <f t="shared" si="7"/>
        <v>89.950595390517975</v>
      </c>
    </row>
    <row r="17" spans="1:16" ht="39" hidden="1" customHeight="1" x14ac:dyDescent="0.25">
      <c r="A17" s="80">
        <v>11</v>
      </c>
      <c r="B17" s="117" t="s">
        <v>200</v>
      </c>
      <c r="C17" s="81"/>
      <c r="D17" s="81">
        <f t="shared" si="1"/>
        <v>0</v>
      </c>
      <c r="E17" s="81">
        <v>82.93</v>
      </c>
      <c r="F17" s="81">
        <f t="shared" si="2"/>
        <v>107.74646578386245</v>
      </c>
      <c r="G17" s="81">
        <f t="shared" si="3"/>
        <v>107.74646578386245</v>
      </c>
      <c r="H17" s="82">
        <v>0</v>
      </c>
      <c r="I17" s="81">
        <f t="shared" si="0"/>
        <v>0</v>
      </c>
      <c r="J17" s="81">
        <f>G17-I17</f>
        <v>107.74646578386245</v>
      </c>
      <c r="K17" s="81">
        <f t="shared" si="4"/>
        <v>136.35501014716385</v>
      </c>
      <c r="L17" s="81"/>
      <c r="M17" s="81">
        <f t="shared" si="6"/>
        <v>176.08603896590643</v>
      </c>
      <c r="N17" s="81"/>
      <c r="P17">
        <f t="shared" si="7"/>
        <v>0</v>
      </c>
    </row>
    <row r="18" spans="1:16" ht="60" customHeight="1" x14ac:dyDescent="0.25">
      <c r="A18" s="80">
        <v>10</v>
      </c>
      <c r="B18" s="117" t="s">
        <v>223</v>
      </c>
      <c r="C18" s="81">
        <v>983.83</v>
      </c>
      <c r="D18" s="81">
        <f t="shared" si="1"/>
        <v>1274.4138912352223</v>
      </c>
      <c r="E18" s="81"/>
      <c r="F18" s="81">
        <f t="shared" si="2"/>
        <v>0</v>
      </c>
      <c r="G18" s="103">
        <f t="shared" si="3"/>
        <v>1274.4138912352223</v>
      </c>
      <c r="H18" s="104"/>
      <c r="I18" s="81">
        <f t="shared" si="0"/>
        <v>0</v>
      </c>
      <c r="J18" s="81">
        <f>G18-1210.69</f>
        <v>63.723891235222254</v>
      </c>
      <c r="K18" s="81">
        <f t="shared" si="4"/>
        <v>80.643683045953679</v>
      </c>
      <c r="L18" s="81"/>
      <c r="M18" s="81">
        <f t="shared" si="6"/>
        <v>104.14158379555053</v>
      </c>
      <c r="N18" s="81"/>
      <c r="P18">
        <f t="shared" si="7"/>
        <v>0</v>
      </c>
    </row>
    <row r="19" spans="1:16" ht="83.25" customHeight="1" x14ac:dyDescent="0.25">
      <c r="A19" s="80">
        <v>11</v>
      </c>
      <c r="B19" s="117" t="s">
        <v>233</v>
      </c>
      <c r="C19" s="81">
        <v>4751.12</v>
      </c>
      <c r="D19" s="81">
        <f t="shared" si="1"/>
        <v>6154.410138871036</v>
      </c>
      <c r="E19" s="81"/>
      <c r="F19" s="81">
        <f t="shared" si="2"/>
        <v>0</v>
      </c>
      <c r="G19" s="103">
        <f t="shared" si="3"/>
        <v>6154.410138871036</v>
      </c>
      <c r="H19" s="104"/>
      <c r="I19" s="81">
        <f t="shared" si="0"/>
        <v>0</v>
      </c>
      <c r="J19" s="81">
        <f>G19-6031.32</f>
        <v>123.09013887103629</v>
      </c>
      <c r="K19" s="81">
        <f t="shared" si="4"/>
        <v>155.77269298507008</v>
      </c>
      <c r="L19" s="81">
        <f t="shared" si="5"/>
        <v>155.77269298507008</v>
      </c>
      <c r="M19" s="81">
        <f t="shared" si="6"/>
        <v>201.16163283761639</v>
      </c>
      <c r="N19" s="81">
        <f t="shared" si="5"/>
        <v>201.16163283761639</v>
      </c>
      <c r="P19">
        <f t="shared" si="7"/>
        <v>161.03634920230019</v>
      </c>
    </row>
    <row r="20" spans="1:16" ht="46.5" hidden="1" customHeight="1" x14ac:dyDescent="0.25">
      <c r="A20" s="80">
        <v>15.16</v>
      </c>
      <c r="B20" s="117" t="s">
        <v>201</v>
      </c>
      <c r="C20" s="81">
        <v>2180.4</v>
      </c>
      <c r="D20" s="81">
        <f t="shared" si="1"/>
        <v>2824.4026391239126</v>
      </c>
      <c r="E20" s="81"/>
      <c r="F20" s="81">
        <f t="shared" si="2"/>
        <v>0</v>
      </c>
      <c r="G20" s="81">
        <f t="shared" si="3"/>
        <v>2824.4026391239126</v>
      </c>
      <c r="H20" s="82">
        <v>0.34</v>
      </c>
      <c r="I20" s="81">
        <f t="shared" si="0"/>
        <v>960.29689730213033</v>
      </c>
      <c r="J20" s="81">
        <f>G20-I20</f>
        <v>1864.1057418217824</v>
      </c>
      <c r="K20" s="81">
        <f t="shared" si="4"/>
        <v>2359.0579560296351</v>
      </c>
      <c r="L20" s="81">
        <f t="shared" si="5"/>
        <v>2359.0579560296351</v>
      </c>
      <c r="M20" s="81">
        <f t="shared" si="6"/>
        <v>3046.4386363210292</v>
      </c>
      <c r="N20" s="81"/>
      <c r="P20">
        <f t="shared" si="7"/>
        <v>2438.7719921620887</v>
      </c>
    </row>
    <row r="21" spans="1:16" ht="143.25" customHeight="1" x14ac:dyDescent="0.25">
      <c r="A21" s="80" t="s">
        <v>237</v>
      </c>
      <c r="B21" s="117" t="s">
        <v>230</v>
      </c>
      <c r="C21" s="81">
        <v>510.81</v>
      </c>
      <c r="D21" s="81">
        <f t="shared" si="1"/>
        <v>661.68277017560342</v>
      </c>
      <c r="E21" s="81">
        <v>340.54</v>
      </c>
      <c r="F21" s="81">
        <f t="shared" si="2"/>
        <v>442.44521232408687</v>
      </c>
      <c r="G21" s="103">
        <f t="shared" si="3"/>
        <v>1104.1279824996902</v>
      </c>
      <c r="H21" s="104"/>
      <c r="I21" s="81">
        <f t="shared" si="0"/>
        <v>0</v>
      </c>
      <c r="J21" s="81">
        <f>G21-441.65</f>
        <v>662.47798249969026</v>
      </c>
      <c r="K21" s="81">
        <f t="shared" si="4"/>
        <v>838.37730888753913</v>
      </c>
      <c r="L21" s="81">
        <f t="shared" si="5"/>
        <v>838.37730888753913</v>
      </c>
      <c r="M21" s="81">
        <f t="shared" si="6"/>
        <v>1082.663110959943</v>
      </c>
      <c r="N21" s="81">
        <f t="shared" si="5"/>
        <v>1082.663110959943</v>
      </c>
      <c r="P21">
        <f t="shared" si="7"/>
        <v>866.70659979049276</v>
      </c>
    </row>
    <row r="22" spans="1:16" ht="64.5" customHeight="1" x14ac:dyDescent="0.25">
      <c r="A22" s="80">
        <v>13</v>
      </c>
      <c r="B22" s="117" t="s">
        <v>224</v>
      </c>
      <c r="C22" s="81">
        <v>243.62</v>
      </c>
      <c r="D22" s="81">
        <f t="shared" si="1"/>
        <v>315.57556913564832</v>
      </c>
      <c r="E22" s="81"/>
      <c r="F22" s="81">
        <f t="shared" si="2"/>
        <v>0</v>
      </c>
      <c r="G22" s="103">
        <f t="shared" si="3"/>
        <v>315.57556913564832</v>
      </c>
      <c r="H22" s="104"/>
      <c r="I22" s="81">
        <f t="shared" si="0"/>
        <v>0</v>
      </c>
      <c r="J22" s="81">
        <f>G22-53.65</f>
        <v>261.92556913564835</v>
      </c>
      <c r="K22" s="81">
        <f t="shared" si="4"/>
        <v>331.47132369925151</v>
      </c>
      <c r="L22" s="81"/>
      <c r="M22" s="81">
        <f t="shared" si="6"/>
        <v>428.05520939782656</v>
      </c>
      <c r="N22" s="81"/>
      <c r="P22">
        <f t="shared" si="7"/>
        <v>0</v>
      </c>
    </row>
    <row r="23" spans="1:16" ht="138.75" customHeight="1" x14ac:dyDescent="0.25">
      <c r="A23" s="80" t="s">
        <v>238</v>
      </c>
      <c r="B23" s="117" t="s">
        <v>229</v>
      </c>
      <c r="C23" s="81">
        <v>14102.28</v>
      </c>
      <c r="D23" s="81">
        <f t="shared" si="1"/>
        <v>18267.527448937981</v>
      </c>
      <c r="E23" s="81">
        <v>19218.66</v>
      </c>
      <c r="F23" s="81">
        <f t="shared" si="2"/>
        <v>24969.765972527261</v>
      </c>
      <c r="G23" s="103">
        <f t="shared" si="3"/>
        <v>43237.293421465241</v>
      </c>
      <c r="H23" s="104"/>
      <c r="I23" s="81">
        <f t="shared" si="0"/>
        <v>0</v>
      </c>
      <c r="J23" s="81">
        <f>G23-18159.66</f>
        <v>25077.633421465242</v>
      </c>
      <c r="K23" s="81">
        <f t="shared" si="4"/>
        <v>31736.17746785429</v>
      </c>
      <c r="L23" s="81"/>
      <c r="M23" s="81">
        <f t="shared" si="6"/>
        <v>40983.442971418728</v>
      </c>
      <c r="N23" s="81"/>
      <c r="P23">
        <f t="shared" si="7"/>
        <v>0</v>
      </c>
    </row>
    <row r="24" spans="1:16" ht="178.5" customHeight="1" x14ac:dyDescent="0.25">
      <c r="A24" s="80" t="s">
        <v>239</v>
      </c>
      <c r="B24" s="117" t="s">
        <v>226</v>
      </c>
      <c r="C24" s="81">
        <v>11.36</v>
      </c>
      <c r="D24" s="81">
        <f t="shared" si="1"/>
        <v>14.715288011579366</v>
      </c>
      <c r="E24" s="81"/>
      <c r="F24" s="81">
        <f t="shared" si="2"/>
        <v>0</v>
      </c>
      <c r="G24" s="103">
        <f t="shared" si="3"/>
        <v>14.715288011579366</v>
      </c>
      <c r="H24" s="104"/>
      <c r="I24" s="81">
        <f t="shared" si="0"/>
        <v>0</v>
      </c>
      <c r="J24" s="81">
        <f>G24-13.1</f>
        <v>1.6152880115793664</v>
      </c>
      <c r="K24" s="81">
        <f t="shared" si="4"/>
        <v>2.0441748284469914</v>
      </c>
      <c r="L24" s="81"/>
      <c r="M24" s="81">
        <f t="shared" si="6"/>
        <v>2.6398050801841322</v>
      </c>
      <c r="N24" s="81"/>
      <c r="P24">
        <f t="shared" si="7"/>
        <v>0</v>
      </c>
    </row>
    <row r="25" spans="1:16" ht="57" customHeight="1" x14ac:dyDescent="0.25">
      <c r="A25" s="80">
        <v>16</v>
      </c>
      <c r="B25" s="117" t="s">
        <v>228</v>
      </c>
      <c r="C25" s="81"/>
      <c r="D25" s="81">
        <f t="shared" si="1"/>
        <v>0</v>
      </c>
      <c r="E25" s="81">
        <v>71.790000000000006</v>
      </c>
      <c r="F25" s="81">
        <f t="shared" si="2"/>
        <v>93.27286601499442</v>
      </c>
      <c r="G25" s="103">
        <f t="shared" si="3"/>
        <v>93.27286601499442</v>
      </c>
      <c r="H25" s="104"/>
      <c r="I25" s="81">
        <f t="shared" si="0"/>
        <v>0</v>
      </c>
      <c r="J25" s="81">
        <f>G25-27.05</f>
        <v>66.222866014994423</v>
      </c>
      <c r="K25" s="81">
        <f t="shared" si="4"/>
        <v>83.806178715527423</v>
      </c>
      <c r="L25" s="81">
        <f t="shared" si="5"/>
        <v>83.806178715527423</v>
      </c>
      <c r="M25" s="81">
        <f t="shared" si="6"/>
        <v>108.22556527229318</v>
      </c>
      <c r="N25" s="81">
        <f t="shared" si="5"/>
        <v>108.22556527229318</v>
      </c>
      <c r="P25">
        <f t="shared" si="7"/>
        <v>86.638041638257803</v>
      </c>
    </row>
    <row r="26" spans="1:16" ht="30.75" hidden="1" customHeight="1" x14ac:dyDescent="0.25">
      <c r="A26" s="80">
        <v>23</v>
      </c>
      <c r="B26" s="117" t="s">
        <v>202</v>
      </c>
      <c r="C26" s="81">
        <v>12.88</v>
      </c>
      <c r="D26" s="81">
        <f t="shared" si="1"/>
        <v>16.684234999044211</v>
      </c>
      <c r="E26" s="81"/>
      <c r="F26" s="81">
        <f t="shared" si="2"/>
        <v>0</v>
      </c>
      <c r="G26" s="81">
        <f t="shared" si="3"/>
        <v>16.684234999044211</v>
      </c>
      <c r="H26" s="82">
        <v>0.96</v>
      </c>
      <c r="I26" s="81">
        <f t="shared" si="0"/>
        <v>16.016865599082443</v>
      </c>
      <c r="J26" s="81">
        <f>G26-I26</f>
        <v>0.66736939996176758</v>
      </c>
      <c r="K26" s="81">
        <f t="shared" si="4"/>
        <v>0.84456748202058174</v>
      </c>
      <c r="L26" s="81"/>
      <c r="M26" s="81">
        <f t="shared" si="6"/>
        <v>1.0906569724714066</v>
      </c>
      <c r="N26" s="81"/>
      <c r="P26">
        <f t="shared" si="7"/>
        <v>0</v>
      </c>
    </row>
    <row r="27" spans="1:16" ht="29.25" hidden="1" customHeight="1" x14ac:dyDescent="0.25">
      <c r="A27" s="80">
        <v>24</v>
      </c>
      <c r="B27" s="117" t="s">
        <v>203</v>
      </c>
      <c r="C27" s="81">
        <v>52.78</v>
      </c>
      <c r="D27" s="81">
        <f t="shared" si="1"/>
        <v>68.369093419996375</v>
      </c>
      <c r="E27" s="81"/>
      <c r="F27" s="81">
        <f t="shared" si="2"/>
        <v>0</v>
      </c>
      <c r="G27" s="81">
        <f t="shared" si="3"/>
        <v>68.369093419996375</v>
      </c>
      <c r="H27" s="82">
        <v>0.95</v>
      </c>
      <c r="I27" s="81">
        <f t="shared" si="0"/>
        <v>64.950638748996553</v>
      </c>
      <c r="J27" s="81">
        <f>G27-I27</f>
        <v>3.4184546709998216</v>
      </c>
      <c r="K27" s="81">
        <f t="shared" si="4"/>
        <v>4.3261133250239121</v>
      </c>
      <c r="L27" s="81"/>
      <c r="M27" s="81">
        <f t="shared" si="6"/>
        <v>5.5866532421429485</v>
      </c>
      <c r="N27" s="81"/>
      <c r="P27">
        <f t="shared" si="7"/>
        <v>0</v>
      </c>
    </row>
    <row r="28" spans="1:16" s="42" customFormat="1" ht="80.25" customHeight="1" x14ac:dyDescent="0.25">
      <c r="A28" s="80">
        <v>17</v>
      </c>
      <c r="B28" s="117" t="s">
        <v>227</v>
      </c>
      <c r="C28" s="81">
        <v>475.9</v>
      </c>
      <c r="D28" s="81">
        <f t="shared" si="1"/>
        <v>616.46175745692085</v>
      </c>
      <c r="E28" s="81">
        <v>1029.47</v>
      </c>
      <c r="F28" s="81">
        <f t="shared" si="2"/>
        <v>1337.5347175993356</v>
      </c>
      <c r="G28" s="103">
        <f t="shared" si="3"/>
        <v>1953.9964750562565</v>
      </c>
      <c r="H28" s="104"/>
      <c r="I28" s="81">
        <f t="shared" si="0"/>
        <v>0</v>
      </c>
      <c r="J28" s="81">
        <f>G28-918.38</f>
        <v>1035.6164750562566</v>
      </c>
      <c r="K28" s="81">
        <f t="shared" si="4"/>
        <v>1310.5905046401592</v>
      </c>
      <c r="L28" s="81">
        <f t="shared" si="5"/>
        <v>1310.5905046401592</v>
      </c>
      <c r="M28" s="81">
        <f t="shared" si="6"/>
        <v>1692.4694620266885</v>
      </c>
      <c r="N28" s="81">
        <f t="shared" si="5"/>
        <v>1692.4694620266885</v>
      </c>
      <c r="P28">
        <f t="shared" si="7"/>
        <v>1354.8761732371133</v>
      </c>
    </row>
    <row r="29" spans="1:16" ht="132.75" customHeight="1" x14ac:dyDescent="0.25">
      <c r="A29" s="80" t="s">
        <v>240</v>
      </c>
      <c r="B29" s="117" t="s">
        <v>225</v>
      </c>
      <c r="C29" s="81">
        <f>55.75+78.58+55.75</f>
        <v>190.07999999999998</v>
      </c>
      <c r="D29" s="81">
        <f t="shared" si="1"/>
        <v>246.2220022219195</v>
      </c>
      <c r="E29" s="81"/>
      <c r="F29" s="81">
        <f t="shared" si="2"/>
        <v>0</v>
      </c>
      <c r="G29" s="103">
        <f t="shared" si="3"/>
        <v>246.2220022219195</v>
      </c>
      <c r="H29" s="104"/>
      <c r="I29" s="81">
        <f t="shared" si="0"/>
        <v>0</v>
      </c>
      <c r="J29" s="81">
        <f>G29-241.3</f>
        <v>4.9220022219194846</v>
      </c>
      <c r="K29" s="81">
        <f t="shared" si="4"/>
        <v>6.2288786739463822</v>
      </c>
      <c r="L29" s="81"/>
      <c r="M29" s="81">
        <f t="shared" si="6"/>
        <v>8.0438450461824829</v>
      </c>
      <c r="N29" s="81"/>
      <c r="P29">
        <f t="shared" si="7"/>
        <v>0</v>
      </c>
    </row>
    <row r="30" spans="1:16" ht="37.5" customHeight="1" x14ac:dyDescent="0.25">
      <c r="A30" s="9"/>
      <c r="B30" s="85" t="s">
        <v>111</v>
      </c>
      <c r="C30" s="83">
        <f>SUM(C5:C29)</f>
        <v>50634.790000000008</v>
      </c>
      <c r="D30" s="83">
        <f>D5+D6+D7+D8+D9+D10+D11+D12+D13+D14+D15+D16+D18+D19+D21+D22+D23+D24+D25+D28+D29</f>
        <v>62680.818526809046</v>
      </c>
      <c r="E30" s="83">
        <f t="shared" ref="E30:N30" si="8">E5+E6+E7+E8+E9+E10+E11+E12+E13+E14+E15+E16+E18+E19+E21+E22+E23+E24+E25+E28+E29</f>
        <v>78371.92</v>
      </c>
      <c r="F30" s="83">
        <f t="shared" si="8"/>
        <v>101824.39885078506</v>
      </c>
      <c r="G30" s="105">
        <f t="shared" si="8"/>
        <v>164505.21737759412</v>
      </c>
      <c r="H30" s="106"/>
      <c r="I30" s="83">
        <f t="shared" si="8"/>
        <v>0</v>
      </c>
      <c r="J30" s="83">
        <f t="shared" si="8"/>
        <v>56235.747377594111</v>
      </c>
      <c r="K30" s="83">
        <f t="shared" si="8"/>
        <v>71167.307888196709</v>
      </c>
      <c r="L30" s="83">
        <f t="shared" si="8"/>
        <v>37634.036449519292</v>
      </c>
      <c r="M30" s="83">
        <f t="shared" si="8"/>
        <v>91903.988979757429</v>
      </c>
      <c r="N30" s="83">
        <f t="shared" si="8"/>
        <v>51646.256035672326</v>
      </c>
      <c r="P30" s="6">
        <f>SUM(P5:P29)</f>
        <v>41344.48594908612</v>
      </c>
    </row>
  </sheetData>
  <mergeCells count="35">
    <mergeCell ref="M1:N1"/>
    <mergeCell ref="L3:L4"/>
    <mergeCell ref="M3:M4"/>
    <mergeCell ref="N3:N4"/>
    <mergeCell ref="A2:N2"/>
    <mergeCell ref="J3:J4"/>
    <mergeCell ref="A3:A4"/>
    <mergeCell ref="K3:K4"/>
    <mergeCell ref="I3:I4"/>
    <mergeCell ref="C3:D3"/>
    <mergeCell ref="E3:F3"/>
    <mergeCell ref="B3:B4"/>
    <mergeCell ref="G3:H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8:H18"/>
    <mergeCell ref="G19:H19"/>
    <mergeCell ref="G21:H21"/>
    <mergeCell ref="G29:H29"/>
    <mergeCell ref="G30:H30"/>
    <mergeCell ref="G22:H22"/>
    <mergeCell ref="G23:H23"/>
    <mergeCell ref="G24:H24"/>
    <mergeCell ref="G25:H25"/>
    <mergeCell ref="G28:H28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ООО СтройинтеХ I пусковой комп.</vt:lpstr>
      <vt:lpstr>ООО ПСК Волга II пусковой комп.</vt:lpstr>
      <vt:lpstr>ООО ПСК Волга Выполнение</vt:lpstr>
      <vt:lpstr>Лист1</vt:lpstr>
      <vt:lpstr>д.с.№4 от 11.12.2015</vt:lpstr>
      <vt:lpstr>РАСЧЕТ ГЧП</vt:lpstr>
      <vt:lpstr>'РАСЧЕТ ГЧП'!Область_печати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ProninVE</dc:creator>
  <cp:lastModifiedBy>Сутягина</cp:lastModifiedBy>
  <cp:lastPrinted>2018-11-02T12:14:35Z</cp:lastPrinted>
  <dcterms:created xsi:type="dcterms:W3CDTF">2016-12-05T12:03:11Z</dcterms:created>
  <dcterms:modified xsi:type="dcterms:W3CDTF">2018-11-07T11:29:25Z</dcterms:modified>
</cp:coreProperties>
</file>